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ni\Desktop\"/>
    </mc:Choice>
  </mc:AlternateContent>
  <xr:revisionPtr revIDLastSave="0" documentId="8_{0104E816-5DA2-4682-86E0-621D9C9864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meldung" sheetId="1" r:id="rId1"/>
    <sheet name="Listen" sheetId="2" state="hidden" r:id="rId2"/>
    <sheet name="Partnerlisten" sheetId="3" state="hidden" r:id="rId3"/>
    <sheet name="Ausgabe-Daten" sheetId="7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133" i="7"/>
  <c r="A112" i="7"/>
  <c r="A105" i="7"/>
  <c r="H105" i="7" s="1"/>
  <c r="A84" i="7"/>
  <c r="H84" i="7" s="1"/>
  <c r="A77" i="7"/>
  <c r="A70" i="7"/>
  <c r="I70" i="7" s="1"/>
  <c r="A56" i="7"/>
  <c r="I56" i="7" s="1"/>
  <c r="A49" i="7"/>
  <c r="H49" i="7" s="1"/>
  <c r="A42" i="7"/>
  <c r="H42" i="7" s="1"/>
  <c r="A35" i="7"/>
  <c r="B35" i="7" s="1"/>
  <c r="A28" i="7"/>
  <c r="F28" i="7" s="1"/>
  <c r="A21" i="7"/>
  <c r="B21" i="7" s="1"/>
  <c r="Z11" i="1"/>
  <c r="H11" i="1"/>
  <c r="T20" i="1" a="1"/>
  <c r="T20" i="1" s="1"/>
  <c r="C1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J211" i="7"/>
  <c r="A211" i="7"/>
  <c r="H211" i="7" s="1"/>
  <c r="J210" i="7"/>
  <c r="A210" i="7"/>
  <c r="B210" i="7" s="1"/>
  <c r="J209" i="7"/>
  <c r="J208" i="7"/>
  <c r="J207" i="7"/>
  <c r="J206" i="7"/>
  <c r="J205" i="7"/>
  <c r="A205" i="7"/>
  <c r="F205" i="7" s="1"/>
  <c r="J204" i="7"/>
  <c r="A204" i="7"/>
  <c r="J203" i="7"/>
  <c r="A203" i="7"/>
  <c r="B203" i="7" s="1"/>
  <c r="J202" i="7"/>
  <c r="J201" i="7"/>
  <c r="J200" i="7"/>
  <c r="J199" i="7"/>
  <c r="J198" i="7"/>
  <c r="A198" i="7"/>
  <c r="J197" i="7"/>
  <c r="A197" i="7"/>
  <c r="J196" i="7"/>
  <c r="A196" i="7"/>
  <c r="B196" i="7" s="1"/>
  <c r="J195" i="7"/>
  <c r="J194" i="7"/>
  <c r="J193" i="7"/>
  <c r="J192" i="7"/>
  <c r="J191" i="7"/>
  <c r="A191" i="7"/>
  <c r="I191" i="7" s="1"/>
  <c r="J190" i="7"/>
  <c r="A190" i="7"/>
  <c r="G190" i="7" s="1"/>
  <c r="J189" i="7"/>
  <c r="A189" i="7"/>
  <c r="B189" i="7" s="1"/>
  <c r="J188" i="7"/>
  <c r="J187" i="7"/>
  <c r="J186" i="7"/>
  <c r="J185" i="7"/>
  <c r="J184" i="7"/>
  <c r="A184" i="7"/>
  <c r="F184" i="7" s="1"/>
  <c r="J183" i="7"/>
  <c r="A183" i="7"/>
  <c r="I183" i="7" s="1"/>
  <c r="J182" i="7"/>
  <c r="A182" i="7"/>
  <c r="J181" i="7"/>
  <c r="J180" i="7"/>
  <c r="J179" i="7"/>
  <c r="J178" i="7"/>
  <c r="J177" i="7"/>
  <c r="A177" i="7"/>
  <c r="I177" i="7" s="1"/>
  <c r="J176" i="7"/>
  <c r="A176" i="7"/>
  <c r="J175" i="7"/>
  <c r="A175" i="7"/>
  <c r="B175" i="7" s="1"/>
  <c r="J174" i="7"/>
  <c r="J173" i="7"/>
  <c r="J172" i="7"/>
  <c r="J171" i="7"/>
  <c r="J170" i="7"/>
  <c r="A170" i="7"/>
  <c r="H170" i="7" s="1"/>
  <c r="J169" i="7"/>
  <c r="A169" i="7"/>
  <c r="J168" i="7"/>
  <c r="A168" i="7"/>
  <c r="J167" i="7"/>
  <c r="J166" i="7"/>
  <c r="J165" i="7"/>
  <c r="J164" i="7"/>
  <c r="J163" i="7"/>
  <c r="A163" i="7"/>
  <c r="D163" i="7" s="1"/>
  <c r="J162" i="7"/>
  <c r="A162" i="7"/>
  <c r="J161" i="7"/>
  <c r="A161" i="7"/>
  <c r="D161" i="7" s="1"/>
  <c r="J160" i="7"/>
  <c r="J159" i="7"/>
  <c r="J158" i="7"/>
  <c r="J157" i="7"/>
  <c r="J156" i="7"/>
  <c r="A156" i="7"/>
  <c r="J155" i="7"/>
  <c r="A155" i="7"/>
  <c r="J154" i="7"/>
  <c r="A154" i="7"/>
  <c r="B154" i="7" s="1"/>
  <c r="J153" i="7"/>
  <c r="J152" i="7"/>
  <c r="J151" i="7"/>
  <c r="J150" i="7"/>
  <c r="J149" i="7"/>
  <c r="A149" i="7"/>
  <c r="I149" i="7" s="1"/>
  <c r="J148" i="7"/>
  <c r="A148" i="7"/>
  <c r="G148" i="7" s="1"/>
  <c r="J147" i="7"/>
  <c r="A147" i="7"/>
  <c r="G147" i="7" s="1"/>
  <c r="J146" i="7"/>
  <c r="J145" i="7"/>
  <c r="J144" i="7"/>
  <c r="J143" i="7"/>
  <c r="J142" i="7"/>
  <c r="A142" i="7"/>
  <c r="H142" i="7" s="1"/>
  <c r="J141" i="7"/>
  <c r="A141" i="7"/>
  <c r="H141" i="7" s="1"/>
  <c r="J140" i="7"/>
  <c r="A140" i="7"/>
  <c r="I140" i="7" s="1"/>
  <c r="J139" i="7"/>
  <c r="J138" i="7"/>
  <c r="J137" i="7"/>
  <c r="J136" i="7"/>
  <c r="J135" i="7"/>
  <c r="A135" i="7"/>
  <c r="H135" i="7" s="1"/>
  <c r="J134" i="7"/>
  <c r="A134" i="7"/>
  <c r="J133" i="7"/>
  <c r="J132" i="7"/>
  <c r="J131" i="7"/>
  <c r="J130" i="7"/>
  <c r="J129" i="7"/>
  <c r="J128" i="7"/>
  <c r="A128" i="7"/>
  <c r="G128" i="7" s="1"/>
  <c r="J127" i="7"/>
  <c r="A127" i="7"/>
  <c r="H127" i="7" s="1"/>
  <c r="J126" i="7"/>
  <c r="A126" i="7"/>
  <c r="B126" i="7" s="1"/>
  <c r="J125" i="7"/>
  <c r="J124" i="7"/>
  <c r="J123" i="7"/>
  <c r="J122" i="7"/>
  <c r="J121" i="7"/>
  <c r="A121" i="7"/>
  <c r="G121" i="7" s="1"/>
  <c r="J120" i="7"/>
  <c r="A120" i="7"/>
  <c r="J119" i="7"/>
  <c r="A119" i="7"/>
  <c r="B119" i="7" s="1"/>
  <c r="J118" i="7"/>
  <c r="J117" i="7"/>
  <c r="J116" i="7"/>
  <c r="J115" i="7"/>
  <c r="J114" i="7"/>
  <c r="A114" i="7"/>
  <c r="B114" i="7" s="1"/>
  <c r="J113" i="7"/>
  <c r="A113" i="7"/>
  <c r="J112" i="7"/>
  <c r="J111" i="7"/>
  <c r="J110" i="7"/>
  <c r="J109" i="7"/>
  <c r="J108" i="7"/>
  <c r="J107" i="7"/>
  <c r="A107" i="7"/>
  <c r="I107" i="7" s="1"/>
  <c r="J106" i="7"/>
  <c r="A106" i="7"/>
  <c r="F106" i="7" s="1"/>
  <c r="J105" i="7"/>
  <c r="J104" i="7"/>
  <c r="J103" i="7"/>
  <c r="J102" i="7"/>
  <c r="J101" i="7"/>
  <c r="J100" i="7"/>
  <c r="A100" i="7"/>
  <c r="H100" i="7" s="1"/>
  <c r="J99" i="7"/>
  <c r="A99" i="7"/>
  <c r="I99" i="7" s="1"/>
  <c r="J98" i="7"/>
  <c r="A98" i="7"/>
  <c r="B98" i="7" s="1"/>
  <c r="J97" i="7"/>
  <c r="J96" i="7"/>
  <c r="J95" i="7"/>
  <c r="J94" i="7"/>
  <c r="J93" i="7"/>
  <c r="A93" i="7"/>
  <c r="I93" i="7" s="1"/>
  <c r="J92" i="7"/>
  <c r="A92" i="7"/>
  <c r="B92" i="7" s="1"/>
  <c r="J91" i="7"/>
  <c r="A91" i="7"/>
  <c r="B91" i="7" s="1"/>
  <c r="J90" i="7"/>
  <c r="J89" i="7"/>
  <c r="J88" i="7"/>
  <c r="J87" i="7"/>
  <c r="J86" i="7"/>
  <c r="A86" i="7"/>
  <c r="J85" i="7"/>
  <c r="A85" i="7"/>
  <c r="B85" i="7" s="1"/>
  <c r="J84" i="7"/>
  <c r="J83" i="7"/>
  <c r="J82" i="7"/>
  <c r="J81" i="7"/>
  <c r="J80" i="7"/>
  <c r="J79" i="7"/>
  <c r="A79" i="7"/>
  <c r="J78" i="7"/>
  <c r="A78" i="7"/>
  <c r="I78" i="7" s="1"/>
  <c r="J77" i="7"/>
  <c r="J76" i="7"/>
  <c r="J75" i="7"/>
  <c r="J74" i="7"/>
  <c r="J73" i="7"/>
  <c r="J72" i="7"/>
  <c r="A72" i="7"/>
  <c r="I72" i="7" s="1"/>
  <c r="J71" i="7"/>
  <c r="A71" i="7"/>
  <c r="C71" i="7" s="1"/>
  <c r="J70" i="7"/>
  <c r="J69" i="7"/>
  <c r="J68" i="7"/>
  <c r="J67" i="7"/>
  <c r="J66" i="7"/>
  <c r="J65" i="7"/>
  <c r="A65" i="7"/>
  <c r="J64" i="7"/>
  <c r="A64" i="7"/>
  <c r="D64" i="7" s="1"/>
  <c r="J63" i="7"/>
  <c r="A63" i="7"/>
  <c r="J62" i="7"/>
  <c r="J61" i="7"/>
  <c r="J60" i="7"/>
  <c r="J59" i="7"/>
  <c r="J58" i="7"/>
  <c r="A58" i="7"/>
  <c r="I58" i="7" s="1"/>
  <c r="J57" i="7"/>
  <c r="A57" i="7"/>
  <c r="D57" i="7" s="1"/>
  <c r="J56" i="7"/>
  <c r="J55" i="7"/>
  <c r="J54" i="7"/>
  <c r="J53" i="7"/>
  <c r="J52" i="7"/>
  <c r="J51" i="7"/>
  <c r="A51" i="7"/>
  <c r="J50" i="7"/>
  <c r="A50" i="7"/>
  <c r="I50" i="7" s="1"/>
  <c r="J49" i="7"/>
  <c r="J48" i="7"/>
  <c r="J47" i="7"/>
  <c r="J46" i="7"/>
  <c r="J45" i="7"/>
  <c r="J44" i="7"/>
  <c r="A44" i="7"/>
  <c r="J43" i="7"/>
  <c r="A43" i="7"/>
  <c r="J42" i="7"/>
  <c r="J41" i="7"/>
  <c r="J40" i="7"/>
  <c r="J39" i="7"/>
  <c r="J38" i="7"/>
  <c r="J37" i="7"/>
  <c r="A37" i="7"/>
  <c r="D37" i="7" s="1"/>
  <c r="J36" i="7"/>
  <c r="A36" i="7"/>
  <c r="J35" i="7"/>
  <c r="J34" i="7"/>
  <c r="J33" i="7"/>
  <c r="J32" i="7"/>
  <c r="J31" i="7"/>
  <c r="J30" i="7"/>
  <c r="A30" i="7"/>
  <c r="J29" i="7"/>
  <c r="A29" i="7"/>
  <c r="C29" i="7" s="1"/>
  <c r="J28" i="7"/>
  <c r="J27" i="7"/>
  <c r="J26" i="7"/>
  <c r="J25" i="7"/>
  <c r="J24" i="7"/>
  <c r="J23" i="7"/>
  <c r="A23" i="7"/>
  <c r="I23" i="7" s="1"/>
  <c r="J22" i="7"/>
  <c r="A22" i="7"/>
  <c r="H22" i="7" s="1"/>
  <c r="J21" i="7"/>
  <c r="J20" i="7"/>
  <c r="J19" i="7"/>
  <c r="J18" i="7"/>
  <c r="J17" i="7"/>
  <c r="J16" i="7"/>
  <c r="A16" i="7"/>
  <c r="J15" i="7"/>
  <c r="A15" i="7"/>
  <c r="J14" i="7"/>
  <c r="A14" i="7"/>
  <c r="J13" i="7"/>
  <c r="J12" i="7"/>
  <c r="J11" i="7"/>
  <c r="J10" i="7"/>
  <c r="J9" i="7"/>
  <c r="A9" i="7"/>
  <c r="J8" i="7"/>
  <c r="A8" i="7"/>
  <c r="J7" i="7"/>
  <c r="A7" i="7"/>
  <c r="B7" i="7" s="1"/>
  <c r="J6" i="7"/>
  <c r="J5" i="7"/>
  <c r="J4" i="7"/>
  <c r="J3" i="7"/>
  <c r="J2" i="7"/>
  <c r="A2" i="7"/>
  <c r="T47" i="1" a="1"/>
  <c r="T47" i="1" s="1"/>
  <c r="J47" i="1"/>
  <c r="T46" i="1" a="1"/>
  <c r="T46" i="1" s="1"/>
  <c r="J46" i="1"/>
  <c r="T45" i="1" a="1"/>
  <c r="T45" i="1" s="1"/>
  <c r="J45" i="1"/>
  <c r="T44" i="1" a="1"/>
  <c r="T44" i="1" s="1"/>
  <c r="J44" i="1"/>
  <c r="T43" i="1" a="1"/>
  <c r="T43" i="1" s="1"/>
  <c r="J43" i="1"/>
  <c r="T42" i="1" a="1"/>
  <c r="T42" i="1" s="1"/>
  <c r="J42" i="1"/>
  <c r="T41" i="1" a="1"/>
  <c r="T41" i="1" s="1"/>
  <c r="J41" i="1"/>
  <c r="T40" i="1" a="1"/>
  <c r="T40" i="1" s="1"/>
  <c r="J40" i="1"/>
  <c r="T39" i="1" a="1"/>
  <c r="T39" i="1" s="1"/>
  <c r="J39" i="1"/>
  <c r="T38" i="1" a="1"/>
  <c r="T38" i="1" s="1"/>
  <c r="J38" i="1"/>
  <c r="T37" i="1" a="1"/>
  <c r="T37" i="1" s="1"/>
  <c r="J37" i="1"/>
  <c r="FA24" i="3" s="1"/>
  <c r="T36" i="1" a="1"/>
  <c r="T36" i="1" s="1"/>
  <c r="J36" i="1"/>
  <c r="T35" i="1" a="1"/>
  <c r="T35" i="1" s="1"/>
  <c r="J35" i="1"/>
  <c r="T34" i="1" a="1"/>
  <c r="T34" i="1" s="1"/>
  <c r="J34" i="1"/>
  <c r="T33" i="1" a="1"/>
  <c r="T33" i="1" s="1"/>
  <c r="J33" i="1"/>
  <c r="T32" i="1" a="1"/>
  <c r="T32" i="1" s="1"/>
  <c r="J32" i="1"/>
  <c r="T31" i="1" a="1"/>
  <c r="T31" i="1" s="1"/>
  <c r="J31" i="1"/>
  <c r="T30" i="1" a="1"/>
  <c r="T30" i="1" s="1"/>
  <c r="J30" i="1"/>
  <c r="T29" i="1" a="1"/>
  <c r="T29" i="1" s="1"/>
  <c r="J29" i="1"/>
  <c r="EJ16" i="3" s="1"/>
  <c r="T28" i="1" a="1"/>
  <c r="T28" i="1" s="1"/>
  <c r="J28" i="1"/>
  <c r="T27" i="1" a="1"/>
  <c r="T27" i="1" s="1"/>
  <c r="J27" i="1"/>
  <c r="T26" i="1" a="1"/>
  <c r="T26" i="1" s="1"/>
  <c r="J26" i="1"/>
  <c r="T25" i="1" a="1"/>
  <c r="T25" i="1" s="1"/>
  <c r="J25" i="1"/>
  <c r="CL12" i="3" s="1"/>
  <c r="T24" i="1" a="1"/>
  <c r="T24" i="1" s="1"/>
  <c r="J24" i="1"/>
  <c r="AC11" i="3" s="1"/>
  <c r="T23" i="1" a="1"/>
  <c r="T23" i="1" s="1"/>
  <c r="J23" i="1"/>
  <c r="CL10" i="3" s="1"/>
  <c r="T22" i="1" a="1"/>
  <c r="T22" i="1" s="1"/>
  <c r="J22" i="1"/>
  <c r="HM9" i="3" s="1"/>
  <c r="T21" i="1" a="1"/>
  <c r="T21" i="1" s="1"/>
  <c r="J21" i="1"/>
  <c r="J20" i="1"/>
  <c r="S7" i="3" s="1"/>
  <c r="T19" i="1" a="1"/>
  <c r="T19" i="1" s="1"/>
  <c r="J19" i="1"/>
  <c r="T18" i="1" a="1"/>
  <c r="T18" i="1" s="1"/>
  <c r="J18" i="1"/>
  <c r="GE21" i="3" l="1"/>
  <c r="GK29" i="3"/>
  <c r="AB48" i="1"/>
  <c r="Y28" i="3"/>
  <c r="HZ25" i="3"/>
  <c r="FU16" i="3"/>
  <c r="FG13" i="3"/>
  <c r="BV29" i="3"/>
  <c r="HL32" i="3"/>
  <c r="DE22" i="3"/>
  <c r="DL34" i="3"/>
  <c r="GT15" i="3"/>
  <c r="BW28" i="3"/>
  <c r="FW33" i="3"/>
  <c r="GK20" i="3"/>
  <c r="CE22" i="3"/>
  <c r="FV34" i="3"/>
  <c r="GO34" i="3"/>
  <c r="GN34" i="3"/>
  <c r="EG34" i="3"/>
  <c r="EH34" i="3"/>
  <c r="CF34" i="3"/>
  <c r="FG33" i="3"/>
  <c r="BM33" i="3"/>
  <c r="EH33" i="3"/>
  <c r="AJ32" i="3"/>
  <c r="FQ32" i="3"/>
  <c r="BM32" i="3"/>
  <c r="DE32" i="3"/>
  <c r="CW32" i="3"/>
  <c r="CG32" i="3"/>
  <c r="BY32" i="3"/>
  <c r="EO31" i="3"/>
  <c r="BA31" i="3"/>
  <c r="FM31" i="3"/>
  <c r="M31" i="3"/>
  <c r="L31" i="3"/>
  <c r="J31" i="3"/>
  <c r="T31" i="3"/>
  <c r="AQ31" i="3"/>
  <c r="EI31" i="3"/>
  <c r="I30" i="3"/>
  <c r="AQ30" i="3"/>
  <c r="IA30" i="3"/>
  <c r="M30" i="3"/>
  <c r="DU30" i="3"/>
  <c r="GG27" i="3"/>
  <c r="EC27" i="3"/>
  <c r="EB27" i="3"/>
  <c r="AK27" i="3"/>
  <c r="AJ27" i="3"/>
  <c r="M27" i="3"/>
  <c r="DU27" i="3"/>
  <c r="BW27" i="3"/>
  <c r="FY27" i="3"/>
  <c r="FH26" i="3"/>
  <c r="BA26" i="3"/>
  <c r="AS24" i="3"/>
  <c r="EA24" i="3"/>
  <c r="DM24" i="3"/>
  <c r="BU23" i="3"/>
  <c r="CG23" i="3"/>
  <c r="EG23" i="3"/>
  <c r="EY23" i="3"/>
  <c r="FA22" i="3"/>
  <c r="EK22" i="3"/>
  <c r="BW14" i="3"/>
  <c r="GF14" i="3"/>
  <c r="GG14" i="3"/>
  <c r="BO10" i="3"/>
  <c r="ER10" i="3"/>
  <c r="GO8" i="3"/>
  <c r="CL8" i="3"/>
  <c r="GV6" i="3"/>
  <c r="ER6" i="3"/>
  <c r="AS34" i="3"/>
  <c r="HI34" i="3"/>
  <c r="FV33" i="3"/>
  <c r="HK33" i="3"/>
  <c r="FW32" i="3"/>
  <c r="HJ32" i="3"/>
  <c r="HY31" i="3"/>
  <c r="HR31" i="3"/>
  <c r="HK31" i="3"/>
  <c r="FX30" i="3"/>
  <c r="HD30" i="3"/>
  <c r="HR30" i="3"/>
  <c r="HK30" i="3"/>
  <c r="BY27" i="3"/>
  <c r="HM27" i="3"/>
  <c r="HB27" i="3"/>
  <c r="FV27" i="3"/>
  <c r="GS27" i="3"/>
  <c r="L26" i="3"/>
  <c r="HZ26" i="3"/>
  <c r="HC26" i="3"/>
  <c r="HE26" i="3"/>
  <c r="AK25" i="3"/>
  <c r="HC25" i="3"/>
  <c r="GO23" i="3"/>
  <c r="HK23" i="3"/>
  <c r="HU23" i="3"/>
  <c r="EI33" i="3"/>
  <c r="HU22" i="3"/>
  <c r="GU14" i="3"/>
  <c r="AO14" i="3"/>
  <c r="AS14" i="3"/>
  <c r="FW13" i="3"/>
  <c r="Z13" i="3"/>
  <c r="HL8" i="3"/>
  <c r="AB8" i="3"/>
  <c r="K6" i="3"/>
  <c r="HM6" i="3"/>
  <c r="A22" i="3"/>
  <c r="BY5" i="3"/>
  <c r="C26" i="3"/>
  <c r="CK7" i="3"/>
  <c r="Y27" i="3"/>
  <c r="AA31" i="3"/>
  <c r="BW16" i="3"/>
  <c r="A21" i="3"/>
  <c r="J28" i="3"/>
  <c r="S34" i="3"/>
  <c r="Z24" i="3"/>
  <c r="AH22" i="3"/>
  <c r="BE13" i="3"/>
  <c r="BU12" i="3"/>
  <c r="CL27" i="3"/>
  <c r="DS7" i="3"/>
  <c r="EH32" i="3"/>
  <c r="EX16" i="3"/>
  <c r="FU27" i="3"/>
  <c r="FW31" i="3"/>
  <c r="GT34" i="3"/>
  <c r="HI5" i="3"/>
  <c r="E27" i="3"/>
  <c r="T7" i="3"/>
  <c r="BQ27" i="3"/>
  <c r="EC16" i="3"/>
  <c r="EZ27" i="3"/>
  <c r="FQ26" i="3"/>
  <c r="HE16" i="3"/>
  <c r="HU16" i="3"/>
  <c r="IA8" i="3"/>
  <c r="HQ16" i="3"/>
  <c r="I28" i="3"/>
  <c r="Y26" i="3"/>
  <c r="AA26" i="3"/>
  <c r="HZ24" i="3"/>
  <c r="FH8" i="3"/>
  <c r="EX25" i="3"/>
  <c r="I25" i="3"/>
  <c r="Y8" i="3"/>
  <c r="BE24" i="3"/>
  <c r="EW16" i="3"/>
  <c r="GM6" i="3"/>
  <c r="FI7" i="3"/>
  <c r="R7" i="3"/>
  <c r="Z30" i="3"/>
  <c r="AG30" i="3"/>
  <c r="BE14" i="3"/>
  <c r="CK8" i="3"/>
  <c r="DS25" i="3"/>
  <c r="EX28" i="3"/>
  <c r="FO24" i="3"/>
  <c r="HI24" i="3"/>
  <c r="E28" i="3"/>
  <c r="T8" i="3"/>
  <c r="BI7" i="3"/>
  <c r="EZ28" i="3"/>
  <c r="AP12" i="3"/>
  <c r="DT30" i="3"/>
  <c r="A8" i="3"/>
  <c r="J16" i="3"/>
  <c r="S8" i="3"/>
  <c r="Z16" i="3"/>
  <c r="AH21" i="3"/>
  <c r="BG30" i="3"/>
  <c r="BW31" i="3"/>
  <c r="DZ21" i="3"/>
  <c r="EI34" i="3"/>
  <c r="EY27" i="3"/>
  <c r="FU24" i="3"/>
  <c r="GU34" i="3"/>
  <c r="HY30" i="3"/>
  <c r="T6" i="3"/>
  <c r="AK21" i="3"/>
  <c r="CW27" i="3"/>
  <c r="EC8" i="3"/>
  <c r="EZ26" i="3"/>
  <c r="FQ22" i="3"/>
  <c r="GO24" i="3"/>
  <c r="HL27" i="3"/>
  <c r="IB22" i="3"/>
  <c r="Q32" i="3"/>
  <c r="R34" i="3"/>
  <c r="CM31" i="3"/>
  <c r="GV16" i="3"/>
  <c r="GG24" i="3"/>
  <c r="R24" i="3"/>
  <c r="CM25" i="3"/>
  <c r="EO8" i="3"/>
  <c r="GM7" i="3"/>
  <c r="HU24" i="3"/>
  <c r="BO8" i="3"/>
  <c r="R8" i="3"/>
  <c r="AG33" i="3"/>
  <c r="BO9" i="3"/>
  <c r="CK23" i="3"/>
  <c r="CM24" i="3"/>
  <c r="AJ8" i="3"/>
  <c r="CG24" i="3"/>
  <c r="ES24" i="3"/>
  <c r="BN21" i="3"/>
  <c r="CO21" i="3"/>
  <c r="GM33" i="3"/>
  <c r="C28" i="3"/>
  <c r="Z14" i="3"/>
  <c r="AO23" i="3"/>
  <c r="BG28" i="3"/>
  <c r="EA25" i="3"/>
  <c r="EY26" i="3"/>
  <c r="FU23" i="3"/>
  <c r="HY27" i="3"/>
  <c r="U27" i="3"/>
  <c r="AS25" i="3"/>
  <c r="AX19" i="3"/>
  <c r="AX27" i="3"/>
  <c r="AY8" i="3"/>
  <c r="CC6" i="3"/>
  <c r="CE7" i="3"/>
  <c r="M11" i="3"/>
  <c r="CO11" i="3"/>
  <c r="ER11" i="3"/>
  <c r="AX9" i="3"/>
  <c r="AC15" i="3"/>
  <c r="AK11" i="3"/>
  <c r="HM10" i="3"/>
  <c r="FN10" i="3"/>
  <c r="AY10" i="3"/>
  <c r="AO24" i="3"/>
  <c r="Y10" i="3"/>
  <c r="CW10" i="3"/>
  <c r="AR27" i="3"/>
  <c r="AO27" i="3"/>
  <c r="B10" i="3"/>
  <c r="AK10" i="3"/>
  <c r="C10" i="3"/>
  <c r="AX8" i="3"/>
  <c r="EP11" i="3"/>
  <c r="BI11" i="3"/>
  <c r="FA11" i="3"/>
  <c r="DU11" i="3"/>
  <c r="HB11" i="3"/>
  <c r="EI11" i="3"/>
  <c r="AW30" i="3"/>
  <c r="GW11" i="3"/>
  <c r="BQ11" i="3"/>
  <c r="U11" i="3"/>
  <c r="GS11" i="3"/>
  <c r="AX11" i="3"/>
  <c r="AW34" i="3"/>
  <c r="Y11" i="3"/>
  <c r="HU11" i="3"/>
  <c r="AZ11" i="3"/>
  <c r="J15" i="3"/>
  <c r="AQ14" i="3"/>
  <c r="AP28" i="3"/>
  <c r="AY32" i="3"/>
  <c r="BE11" i="3"/>
  <c r="BU11" i="3"/>
  <c r="BW15" i="3"/>
  <c r="CE23" i="3"/>
  <c r="CK10" i="3"/>
  <c r="HE11" i="3"/>
  <c r="FE5" i="3"/>
  <c r="EY5" i="3"/>
  <c r="A7" i="3"/>
  <c r="AP26" i="3"/>
  <c r="AY26" i="3"/>
  <c r="FW11" i="3"/>
  <c r="GO11" i="3"/>
  <c r="EK6" i="3"/>
  <c r="AG6" i="3"/>
  <c r="K34" i="3"/>
  <c r="BU26" i="3"/>
  <c r="BF14" i="3"/>
  <c r="I14" i="3"/>
  <c r="GC14" i="3"/>
  <c r="CM14" i="3"/>
  <c r="BU27" i="3"/>
  <c r="S14" i="3"/>
  <c r="GW14" i="3"/>
  <c r="A6" i="3"/>
  <c r="I12" i="3"/>
  <c r="Q9" i="3"/>
  <c r="S26" i="3"/>
  <c r="AA15" i="3"/>
  <c r="AI22" i="3"/>
  <c r="AW5" i="3"/>
  <c r="AY23" i="3"/>
  <c r="BF13" i="3"/>
  <c r="BV30" i="3"/>
  <c r="CC29" i="3"/>
  <c r="CE21" i="3"/>
  <c r="CM11" i="3"/>
  <c r="EX15" i="3"/>
  <c r="FM11" i="3"/>
  <c r="HK6" i="3"/>
  <c r="AB11" i="3"/>
  <c r="AZ27" i="3"/>
  <c r="CN11" i="3"/>
  <c r="DM11" i="3"/>
  <c r="GF10" i="3"/>
  <c r="HL10" i="3"/>
  <c r="EO11" i="3"/>
  <c r="FV11" i="3"/>
  <c r="AX16" i="3"/>
  <c r="CD32" i="3"/>
  <c r="CE6" i="3"/>
  <c r="FQ11" i="3"/>
  <c r="R11" i="3"/>
  <c r="AO10" i="3"/>
  <c r="AQ15" i="3"/>
  <c r="CD22" i="3"/>
  <c r="HA11" i="3"/>
  <c r="AO8" i="3"/>
  <c r="AX7" i="3"/>
  <c r="CD15" i="3"/>
  <c r="CK11" i="3"/>
  <c r="CM12" i="3"/>
  <c r="BV12" i="3"/>
  <c r="BF26" i="3"/>
  <c r="AY12" i="3"/>
  <c r="AI25" i="3"/>
  <c r="AW27" i="3"/>
  <c r="BN32" i="3"/>
  <c r="FG12" i="3"/>
  <c r="FW12" i="3"/>
  <c r="BP11" i="3"/>
  <c r="DL5" i="3"/>
  <c r="ES11" i="3"/>
  <c r="FY11" i="3"/>
  <c r="CO13" i="3"/>
  <c r="FY13" i="3"/>
  <c r="CL13" i="3"/>
  <c r="BM21" i="3"/>
  <c r="AP13" i="3"/>
  <c r="BM31" i="3"/>
  <c r="Y12" i="3"/>
  <c r="AI24" i="3"/>
  <c r="AW16" i="3"/>
  <c r="BF32" i="3"/>
  <c r="BN23" i="3"/>
  <c r="BU10" i="3"/>
  <c r="EI10" i="3"/>
  <c r="AS11" i="3"/>
  <c r="BP10" i="3"/>
  <c r="EC7" i="3"/>
  <c r="T32" i="3"/>
  <c r="R22" i="3"/>
  <c r="B7" i="3"/>
  <c r="EK7" i="3"/>
  <c r="T33" i="3"/>
  <c r="HR7" i="3"/>
  <c r="EP7" i="3"/>
  <c r="R23" i="3"/>
  <c r="FH7" i="3"/>
  <c r="CE32" i="3"/>
  <c r="CC30" i="3"/>
  <c r="FI15" i="3"/>
  <c r="HB15" i="3"/>
  <c r="CE34" i="3"/>
  <c r="CC34" i="3"/>
  <c r="BV15" i="3"/>
  <c r="I15" i="3"/>
  <c r="CW15" i="3"/>
  <c r="BQ15" i="3"/>
  <c r="U15" i="3"/>
  <c r="B11" i="3"/>
  <c r="J32" i="3"/>
  <c r="Q5" i="3"/>
  <c r="S23" i="3"/>
  <c r="AA6" i="3"/>
  <c r="AI12" i="3"/>
  <c r="AP10" i="3"/>
  <c r="AX34" i="3"/>
  <c r="AY22" i="3"/>
  <c r="BG31" i="3"/>
  <c r="BO24" i="3"/>
  <c r="BV24" i="3"/>
  <c r="CC16" i="3"/>
  <c r="CE8" i="3"/>
  <c r="CM7" i="3"/>
  <c r="EO12" i="3"/>
  <c r="FM10" i="3"/>
  <c r="GE20" i="3"/>
  <c r="GT10" i="3"/>
  <c r="HK5" i="3"/>
  <c r="AB10" i="3"/>
  <c r="AZ26" i="3"/>
  <c r="CN10" i="3"/>
  <c r="AA33" i="3"/>
  <c r="AP16" i="3"/>
  <c r="CK26" i="3"/>
  <c r="CL26" i="3"/>
  <c r="FN16" i="3"/>
  <c r="CN25" i="3"/>
  <c r="DU16" i="3"/>
  <c r="DS33" i="3"/>
  <c r="CV11" i="3"/>
  <c r="K16" i="3"/>
  <c r="S9" i="3"/>
  <c r="AA32" i="3"/>
  <c r="AH32" i="3"/>
  <c r="CK24" i="3"/>
  <c r="EQ8" i="3"/>
  <c r="AB32" i="3"/>
  <c r="AJ16" i="3"/>
  <c r="CN24" i="3"/>
  <c r="FI8" i="3"/>
  <c r="K20" i="3"/>
  <c r="AX20" i="3"/>
  <c r="CK19" i="3"/>
  <c r="DZ20" i="3"/>
  <c r="BO20" i="3"/>
  <c r="EP20" i="3"/>
  <c r="DR22" i="3"/>
  <c r="CD20" i="3"/>
  <c r="DR21" i="3"/>
  <c r="Q20" i="3"/>
  <c r="HA19" i="3"/>
  <c r="EQ19" i="3"/>
  <c r="DJ27" i="3"/>
  <c r="AJ19" i="3"/>
  <c r="EJ19" i="3"/>
  <c r="DJ23" i="3"/>
  <c r="AR19" i="3"/>
  <c r="DJ16" i="3"/>
  <c r="FW19" i="3"/>
  <c r="IB19" i="3"/>
  <c r="Q19" i="3"/>
  <c r="DI32" i="3"/>
  <c r="DK34" i="3"/>
  <c r="EW19" i="3"/>
  <c r="BH19" i="3"/>
  <c r="DM19" i="3"/>
  <c r="EB19" i="3"/>
  <c r="GG19" i="3"/>
  <c r="DI19" i="3"/>
  <c r="DK30" i="3"/>
  <c r="BI19" i="3"/>
  <c r="CG19" i="3"/>
  <c r="FI19" i="3"/>
  <c r="DI16" i="3"/>
  <c r="DK8" i="3"/>
  <c r="FO19" i="3"/>
  <c r="M19" i="3"/>
  <c r="EC19" i="3"/>
  <c r="AQ19" i="3"/>
  <c r="DI14" i="3"/>
  <c r="DK7" i="3"/>
  <c r="BY19" i="3"/>
  <c r="DD19" i="3"/>
  <c r="CC19" i="3"/>
  <c r="DI11" i="3"/>
  <c r="E19" i="3"/>
  <c r="DE19" i="3"/>
  <c r="FA19" i="3"/>
  <c r="Z15" i="1"/>
  <c r="Z13" i="1"/>
  <c r="Z14" i="1"/>
  <c r="K18" i="3"/>
  <c r="EW18" i="3"/>
  <c r="DD16" i="3"/>
  <c r="DD14" i="3"/>
  <c r="DD18" i="3"/>
  <c r="DB16" i="3"/>
  <c r="DD34" i="3"/>
  <c r="DC30" i="3"/>
  <c r="GU18" i="3"/>
  <c r="DD27" i="3"/>
  <c r="HC18" i="3"/>
  <c r="DA32" i="3"/>
  <c r="E18" i="3"/>
  <c r="DA16" i="3"/>
  <c r="HI18" i="3"/>
  <c r="BN18" i="3"/>
  <c r="DA15" i="3"/>
  <c r="DC11" i="3"/>
  <c r="DJ18" i="3"/>
  <c r="AZ18" i="3"/>
  <c r="Z12" i="1"/>
  <c r="DC29" i="3"/>
  <c r="DC28" i="3"/>
  <c r="Q18" i="3"/>
  <c r="AX18" i="3"/>
  <c r="CC18" i="3"/>
  <c r="DA14" i="3"/>
  <c r="EQ18" i="3"/>
  <c r="AR18" i="3"/>
  <c r="CD18" i="3"/>
  <c r="DC27" i="3"/>
  <c r="FO18" i="3"/>
  <c r="EJ18" i="3"/>
  <c r="AA18" i="3"/>
  <c r="DB26" i="3"/>
  <c r="IA18" i="3"/>
  <c r="GV17" i="3"/>
  <c r="CV27" i="3"/>
  <c r="CT26" i="3"/>
  <c r="DB17" i="3"/>
  <c r="AW17" i="3"/>
  <c r="CU11" i="3"/>
  <c r="CU10" i="3"/>
  <c r="CV17" i="3"/>
  <c r="FH17" i="3"/>
  <c r="J17" i="3"/>
  <c r="CS15" i="3"/>
  <c r="CT28" i="3"/>
  <c r="CT27" i="3"/>
  <c r="AH20" i="3"/>
  <c r="AO9" i="3"/>
  <c r="AW33" i="3"/>
  <c r="AX33" i="3"/>
  <c r="IA29" i="3"/>
  <c r="Q33" i="3"/>
  <c r="Z29" i="3"/>
  <c r="AG20" i="3"/>
  <c r="AI11" i="3"/>
  <c r="AY9" i="3"/>
  <c r="BM20" i="3"/>
  <c r="BN7" i="3"/>
  <c r="CC17" i="3"/>
  <c r="CT8" i="3"/>
  <c r="DI13" i="3"/>
  <c r="FE26" i="3"/>
  <c r="FM17" i="3"/>
  <c r="GL30" i="3"/>
  <c r="GS5" i="3"/>
  <c r="HA17" i="3"/>
  <c r="HS24" i="3"/>
  <c r="HE29" i="3"/>
  <c r="IB12" i="3"/>
  <c r="GW12" i="3"/>
  <c r="FH12" i="3"/>
  <c r="EJ12" i="3"/>
  <c r="DT12" i="3"/>
  <c r="DD12" i="3"/>
  <c r="CN12" i="3"/>
  <c r="BX12" i="3"/>
  <c r="BH12" i="3"/>
  <c r="GG12" i="3"/>
  <c r="FA12" i="3"/>
  <c r="EB12" i="3"/>
  <c r="CW12" i="3"/>
  <c r="AS12" i="3"/>
  <c r="AC12" i="3"/>
  <c r="M12" i="3"/>
  <c r="IA12" i="3"/>
  <c r="HR12" i="3"/>
  <c r="HI12" i="3"/>
  <c r="GU12" i="3"/>
  <c r="GL12" i="3"/>
  <c r="GC12" i="3"/>
  <c r="FO12" i="3"/>
  <c r="FF12" i="3"/>
  <c r="EW12" i="3"/>
  <c r="EI12" i="3"/>
  <c r="HL12" i="3"/>
  <c r="HD12" i="3"/>
  <c r="GV12" i="3"/>
  <c r="GN12" i="3"/>
  <c r="BQ12" i="3"/>
  <c r="U12" i="3"/>
  <c r="HZ12" i="3"/>
  <c r="GD12" i="3"/>
  <c r="FM12" i="3"/>
  <c r="EQ12" i="3"/>
  <c r="GF12" i="3"/>
  <c r="FX12" i="3"/>
  <c r="FP12" i="3"/>
  <c r="EC12" i="3"/>
  <c r="BH27" i="3"/>
  <c r="AJ12" i="3"/>
  <c r="E12" i="3"/>
  <c r="HQ12" i="3"/>
  <c r="GO12" i="3"/>
  <c r="DE12" i="3"/>
  <c r="CG12" i="3"/>
  <c r="BI12" i="3"/>
  <c r="AB12" i="3"/>
  <c r="HY12" i="3"/>
  <c r="HB12" i="3"/>
  <c r="GE12" i="3"/>
  <c r="DB12" i="3"/>
  <c r="CK12" i="3"/>
  <c r="BO12" i="3"/>
  <c r="BF11" i="3"/>
  <c r="BE27" i="3"/>
  <c r="AX12" i="3"/>
  <c r="S12" i="3"/>
  <c r="B12" i="3"/>
  <c r="FI12" i="3"/>
  <c r="CF12" i="3"/>
  <c r="AR12" i="3"/>
  <c r="HC12" i="3"/>
  <c r="GK12" i="3"/>
  <c r="FN12" i="3"/>
  <c r="DS12" i="3"/>
  <c r="CS12" i="3"/>
  <c r="BW12" i="3"/>
  <c r="BF12" i="3"/>
  <c r="BE10" i="3"/>
  <c r="BE19" i="3"/>
  <c r="AO12" i="3"/>
  <c r="J12" i="3"/>
  <c r="IC12" i="3"/>
  <c r="FU12" i="3"/>
  <c r="EX12" i="3"/>
  <c r="DJ12" i="3"/>
  <c r="BY12" i="3"/>
  <c r="BA12" i="3"/>
  <c r="EA12" i="3"/>
  <c r="HE12" i="3"/>
  <c r="EK12" i="3"/>
  <c r="BP12" i="3"/>
  <c r="AK12" i="3"/>
  <c r="D12" i="3"/>
  <c r="FE12" i="3"/>
  <c r="EP12" i="3"/>
  <c r="EG12" i="3"/>
  <c r="DY12" i="3"/>
  <c r="DR12" i="3"/>
  <c r="FQ12" i="3"/>
  <c r="CV12" i="3"/>
  <c r="L12" i="3"/>
  <c r="HS12" i="3"/>
  <c r="GT12" i="3"/>
  <c r="DQ12" i="3"/>
  <c r="CC12" i="3"/>
  <c r="BG10" i="3"/>
  <c r="BF17" i="3"/>
  <c r="BE12" i="3"/>
  <c r="Q12" i="3"/>
  <c r="EZ12" i="3"/>
  <c r="AZ12" i="3"/>
  <c r="HJ12" i="3"/>
  <c r="EH12" i="3"/>
  <c r="DK12" i="3"/>
  <c r="DI12" i="3"/>
  <c r="HM12" i="3"/>
  <c r="ER12" i="3"/>
  <c r="T12" i="3"/>
  <c r="GS12" i="3"/>
  <c r="GM12" i="3"/>
  <c r="FV12" i="3"/>
  <c r="DC12" i="3"/>
  <c r="CE12" i="3"/>
  <c r="BN12" i="3"/>
  <c r="BG19" i="3"/>
  <c r="BG34" i="3"/>
  <c r="BF18" i="3"/>
  <c r="BF33" i="3"/>
  <c r="R12" i="3"/>
  <c r="A12" i="3"/>
  <c r="BH8" i="3"/>
  <c r="BG26" i="3"/>
  <c r="AA12" i="3"/>
  <c r="K12" i="3"/>
  <c r="BF10" i="3"/>
  <c r="Z12" i="3"/>
  <c r="CO12" i="3"/>
  <c r="ES12" i="3"/>
  <c r="BH33" i="3"/>
  <c r="EY12" i="3"/>
  <c r="BF19" i="3"/>
  <c r="BF34" i="3"/>
  <c r="AH12" i="3"/>
  <c r="BF9" i="3"/>
  <c r="BE34" i="3"/>
  <c r="BG12" i="3"/>
  <c r="BE7" i="3"/>
  <c r="FY12" i="3"/>
  <c r="BH15" i="3"/>
  <c r="HT12" i="3"/>
  <c r="DU12" i="3"/>
  <c r="DM12" i="3"/>
  <c r="DL12" i="3"/>
  <c r="BH34" i="3"/>
  <c r="HK12" i="3"/>
  <c r="CT12" i="3"/>
  <c r="CD12" i="3"/>
  <c r="BM12" i="3"/>
  <c r="BG9" i="3"/>
  <c r="BG25" i="3"/>
  <c r="AW12" i="3"/>
  <c r="AG12" i="3"/>
  <c r="HU12" i="3"/>
  <c r="BG11" i="3"/>
  <c r="BF24" i="3"/>
  <c r="BH9" i="3"/>
  <c r="DA12" i="3"/>
  <c r="BG27" i="3"/>
  <c r="BF25" i="3"/>
  <c r="AQ12" i="3"/>
  <c r="HA12" i="3"/>
  <c r="DZ12" i="3"/>
  <c r="HL20" i="3"/>
  <c r="GG20" i="3"/>
  <c r="EJ20" i="3"/>
  <c r="DT20" i="3"/>
  <c r="DD20" i="3"/>
  <c r="CN20" i="3"/>
  <c r="BX20" i="3"/>
  <c r="BH20" i="3"/>
  <c r="HU20" i="3"/>
  <c r="GO20" i="3"/>
  <c r="FI20" i="3"/>
  <c r="EK20" i="3"/>
  <c r="DL20" i="3"/>
  <c r="CG20" i="3"/>
  <c r="AS20" i="3"/>
  <c r="AC20" i="3"/>
  <c r="M20" i="3"/>
  <c r="IA20" i="3"/>
  <c r="HR20" i="3"/>
  <c r="HI20" i="3"/>
  <c r="GU20" i="3"/>
  <c r="GL20" i="3"/>
  <c r="GC20" i="3"/>
  <c r="FO20" i="3"/>
  <c r="FF20" i="3"/>
  <c r="EW20" i="3"/>
  <c r="EI20" i="3"/>
  <c r="DE20" i="3"/>
  <c r="BY20" i="3"/>
  <c r="AJ20" i="3"/>
  <c r="E20" i="3"/>
  <c r="HQ20" i="3"/>
  <c r="FU20" i="3"/>
  <c r="EY20" i="3"/>
  <c r="EH20" i="3"/>
  <c r="IC20" i="3"/>
  <c r="HE20" i="3"/>
  <c r="DT27" i="3"/>
  <c r="CF20" i="3"/>
  <c r="AZ20" i="3"/>
  <c r="T20" i="3"/>
  <c r="HY20" i="3"/>
  <c r="FY20" i="3"/>
  <c r="FX20" i="3"/>
  <c r="EB20" i="3"/>
  <c r="DU20" i="3"/>
  <c r="EX20" i="3"/>
  <c r="DS11" i="3"/>
  <c r="DS20" i="3"/>
  <c r="DR27" i="3"/>
  <c r="CS20" i="3"/>
  <c r="BW20" i="3"/>
  <c r="BF20" i="3"/>
  <c r="AO20" i="3"/>
  <c r="J20" i="3"/>
  <c r="ES20" i="3"/>
  <c r="DT19" i="3"/>
  <c r="CW20" i="3"/>
  <c r="CV20" i="3"/>
  <c r="U20" i="3"/>
  <c r="HS20" i="3"/>
  <c r="HJ20" i="3"/>
  <c r="GM20" i="3"/>
  <c r="EG20" i="3"/>
  <c r="EA20" i="3"/>
  <c r="DR10" i="3"/>
  <c r="DR19" i="3"/>
  <c r="DQ26" i="3"/>
  <c r="DJ20" i="3"/>
  <c r="CE20" i="3"/>
  <c r="BN20" i="3"/>
  <c r="AW20" i="3"/>
  <c r="AA20" i="3"/>
  <c r="A20" i="3"/>
  <c r="HM20" i="3"/>
  <c r="GF20" i="3"/>
  <c r="ER20" i="3"/>
  <c r="DT33" i="3"/>
  <c r="BQ20" i="3"/>
  <c r="AK20" i="3"/>
  <c r="D20" i="3"/>
  <c r="FV20" i="3"/>
  <c r="DR11" i="3"/>
  <c r="DQ18" i="3"/>
  <c r="DA20" i="3"/>
  <c r="CO20" i="3"/>
  <c r="GS20" i="3"/>
  <c r="DR20" i="3"/>
  <c r="DQ27" i="3"/>
  <c r="GV20" i="3"/>
  <c r="HA20" i="3"/>
  <c r="FW20" i="3"/>
  <c r="DS10" i="3"/>
  <c r="DS26" i="3"/>
  <c r="DR25" i="3"/>
  <c r="DQ11" i="3"/>
  <c r="DC20" i="3"/>
  <c r="FH20" i="3"/>
  <c r="BP20" i="3"/>
  <c r="AB20" i="3"/>
  <c r="HK20" i="3"/>
  <c r="FM20" i="3"/>
  <c r="EO20" i="3"/>
  <c r="DS27" i="3"/>
  <c r="DR26" i="3"/>
  <c r="DB20" i="3"/>
  <c r="CU20" i="3"/>
  <c r="BU20" i="3"/>
  <c r="AP20" i="3"/>
  <c r="I20" i="3"/>
  <c r="B20" i="3"/>
  <c r="FA20" i="3"/>
  <c r="EC20" i="3"/>
  <c r="BA20" i="3"/>
  <c r="HB20" i="3"/>
  <c r="CT20" i="3"/>
  <c r="GT20" i="3"/>
  <c r="EQ20" i="3"/>
  <c r="DS34" i="3"/>
  <c r="DQ20" i="3"/>
  <c r="CC20" i="3"/>
  <c r="AQ20" i="3"/>
  <c r="HT20" i="3"/>
  <c r="L20" i="3"/>
  <c r="DS18" i="3"/>
  <c r="HC20" i="3"/>
  <c r="DQ32" i="3"/>
  <c r="DT9" i="3"/>
  <c r="FG20" i="3"/>
  <c r="DY20" i="3"/>
  <c r="DS9" i="3"/>
  <c r="DI20" i="3"/>
  <c r="CM20" i="3"/>
  <c r="BV20" i="3"/>
  <c r="BG20" i="3"/>
  <c r="Z20" i="3"/>
  <c r="DT11" i="3"/>
  <c r="DR8" i="3"/>
  <c r="DK20" i="3"/>
  <c r="EZ20" i="3"/>
  <c r="HZ20" i="3"/>
  <c r="DQ31" i="3"/>
  <c r="AI20" i="3"/>
  <c r="DT24" i="3"/>
  <c r="DR17" i="3"/>
  <c r="GW20" i="3"/>
  <c r="GN20" i="3"/>
  <c r="DT10" i="3"/>
  <c r="FE20" i="3"/>
  <c r="DS17" i="3"/>
  <c r="DR33" i="3"/>
  <c r="BE20" i="3"/>
  <c r="Y20" i="3"/>
  <c r="HD20" i="3"/>
  <c r="FP20" i="3"/>
  <c r="DR34" i="3"/>
  <c r="CL20" i="3"/>
  <c r="AY20" i="3"/>
  <c r="C20" i="3"/>
  <c r="FQ20" i="3"/>
  <c r="DT23" i="3"/>
  <c r="DM20" i="3"/>
  <c r="DS19" i="3"/>
  <c r="DR16" i="3"/>
  <c r="CK20" i="3"/>
  <c r="S20" i="3"/>
  <c r="R20" i="3"/>
  <c r="DS24" i="3"/>
  <c r="DQ10" i="3"/>
  <c r="HU28" i="3"/>
  <c r="GV28" i="3"/>
  <c r="FQ28" i="3"/>
  <c r="EJ28" i="3"/>
  <c r="DT28" i="3"/>
  <c r="DD28" i="3"/>
  <c r="CN28" i="3"/>
  <c r="BX28" i="3"/>
  <c r="BH28" i="3"/>
  <c r="IB28" i="3"/>
  <c r="DU28" i="3"/>
  <c r="CV28" i="3"/>
  <c r="BQ28" i="3"/>
  <c r="AS28" i="3"/>
  <c r="AC28" i="3"/>
  <c r="M28" i="3"/>
  <c r="IA28" i="3"/>
  <c r="HR28" i="3"/>
  <c r="HI28" i="3"/>
  <c r="GU28" i="3"/>
  <c r="GL28" i="3"/>
  <c r="GC28" i="3"/>
  <c r="FO28" i="3"/>
  <c r="FF28" i="3"/>
  <c r="EW28" i="3"/>
  <c r="EI28" i="3"/>
  <c r="GG28" i="3"/>
  <c r="FI28" i="3"/>
  <c r="FA28" i="3"/>
  <c r="ER28" i="3"/>
  <c r="DL28" i="3"/>
  <c r="BA28" i="3"/>
  <c r="T28" i="3"/>
  <c r="HY28" i="3"/>
  <c r="HC28" i="3"/>
  <c r="FG28" i="3"/>
  <c r="EP28" i="3"/>
  <c r="ES28" i="3"/>
  <c r="DM28" i="3"/>
  <c r="CG28" i="3"/>
  <c r="D28" i="3"/>
  <c r="HK28" i="3"/>
  <c r="FH28" i="3"/>
  <c r="BI28" i="3"/>
  <c r="HZ28" i="3"/>
  <c r="GS28" i="3"/>
  <c r="FV28" i="3"/>
  <c r="EY28" i="3"/>
  <c r="EA28" i="3"/>
  <c r="DJ28" i="3"/>
  <c r="CE28" i="3"/>
  <c r="BN28" i="3"/>
  <c r="AW28" i="3"/>
  <c r="AA28" i="3"/>
  <c r="A28" i="3"/>
  <c r="GO28" i="3"/>
  <c r="GF19" i="3"/>
  <c r="EK28" i="3"/>
  <c r="L28" i="3"/>
  <c r="GT28" i="3"/>
  <c r="GC26" i="3"/>
  <c r="FW28" i="3"/>
  <c r="FE28" i="3"/>
  <c r="EH28" i="3"/>
  <c r="DR28" i="3"/>
  <c r="DA28" i="3"/>
  <c r="BV28" i="3"/>
  <c r="BE28" i="3"/>
  <c r="AI28" i="3"/>
  <c r="R28" i="3"/>
  <c r="IC28" i="3"/>
  <c r="HD28" i="3"/>
  <c r="FP28" i="3"/>
  <c r="GD27" i="3"/>
  <c r="GC17" i="3"/>
  <c r="EO28" i="3"/>
  <c r="DZ28" i="3"/>
  <c r="DE28" i="3"/>
  <c r="AB28" i="3"/>
  <c r="GE26" i="3"/>
  <c r="DI28" i="3"/>
  <c r="GF26" i="3"/>
  <c r="HS28" i="3"/>
  <c r="GE10" i="3"/>
  <c r="GE28" i="3"/>
  <c r="GC19" i="3"/>
  <c r="GC33" i="3"/>
  <c r="DY28" i="3"/>
  <c r="HT28" i="3"/>
  <c r="GW28" i="3"/>
  <c r="GF28" i="3"/>
  <c r="CO28" i="3"/>
  <c r="CF28" i="3"/>
  <c r="AZ28" i="3"/>
  <c r="AR28" i="3"/>
  <c r="U28" i="3"/>
  <c r="GE11" i="3"/>
  <c r="GD17" i="3"/>
  <c r="GC34" i="3"/>
  <c r="EQ28" i="3"/>
  <c r="EG28" i="3"/>
  <c r="DQ28" i="3"/>
  <c r="BF28" i="3"/>
  <c r="AH28" i="3"/>
  <c r="HQ28" i="3"/>
  <c r="GK28" i="3"/>
  <c r="GE17" i="3"/>
  <c r="GD19" i="3"/>
  <c r="GD33" i="3"/>
  <c r="FU28" i="3"/>
  <c r="DS28" i="3"/>
  <c r="DK28" i="3"/>
  <c r="HL28" i="3"/>
  <c r="FY28" i="3"/>
  <c r="EC28" i="3"/>
  <c r="EB28" i="3"/>
  <c r="HB28" i="3"/>
  <c r="HA28" i="3"/>
  <c r="GE27" i="3"/>
  <c r="DB28" i="3"/>
  <c r="BU28" i="3"/>
  <c r="AY28" i="3"/>
  <c r="AO28" i="3"/>
  <c r="S28" i="3"/>
  <c r="Q28" i="3"/>
  <c r="GD8" i="3"/>
  <c r="GC32" i="3"/>
  <c r="CC28" i="3"/>
  <c r="HJ28" i="3"/>
  <c r="AJ28" i="3"/>
  <c r="GD28" i="3"/>
  <c r="CK28" i="3"/>
  <c r="BO28" i="3"/>
  <c r="B28" i="3"/>
  <c r="GE9" i="3"/>
  <c r="AX28" i="3"/>
  <c r="BY28" i="3"/>
  <c r="GC10" i="3"/>
  <c r="GN28" i="3"/>
  <c r="GF8" i="3"/>
  <c r="FX28" i="3"/>
  <c r="GD11" i="3"/>
  <c r="CW28" i="3"/>
  <c r="BP28" i="3"/>
  <c r="AK28" i="3"/>
  <c r="FN28" i="3"/>
  <c r="FM28" i="3"/>
  <c r="CS28" i="3"/>
  <c r="HM28" i="3"/>
  <c r="GC8" i="3"/>
  <c r="CD28" i="3"/>
  <c r="BM28" i="3"/>
  <c r="AG28" i="3"/>
  <c r="GE18" i="3"/>
  <c r="GD9" i="3"/>
  <c r="CU28" i="3"/>
  <c r="AQ28" i="3"/>
  <c r="K28" i="3"/>
  <c r="GE19" i="3"/>
  <c r="GC11" i="3"/>
  <c r="A34" i="3"/>
  <c r="B26" i="3"/>
  <c r="C22" i="3"/>
  <c r="J5" i="3"/>
  <c r="S25" i="3"/>
  <c r="Z28" i="3"/>
  <c r="AG18" i="3"/>
  <c r="AH10" i="3"/>
  <c r="AI6" i="3"/>
  <c r="BF27" i="3"/>
  <c r="BG18" i="3"/>
  <c r="BM18" i="3"/>
  <c r="BN6" i="3"/>
  <c r="CD9" i="3"/>
  <c r="CU30" i="3"/>
  <c r="DS6" i="3"/>
  <c r="EG25" i="3"/>
  <c r="GC13" i="3"/>
  <c r="GL27" i="3"/>
  <c r="AJ17" i="3"/>
  <c r="BH18" i="3"/>
  <c r="DT29" i="3"/>
  <c r="HE28" i="3"/>
  <c r="FX25" i="3"/>
  <c r="FQ25" i="3"/>
  <c r="CW25" i="3"/>
  <c r="BY25" i="3"/>
  <c r="BA25" i="3"/>
  <c r="E25" i="3"/>
  <c r="FN25" i="3"/>
  <c r="FG27" i="3"/>
  <c r="FE19" i="3"/>
  <c r="DM25" i="3"/>
  <c r="BQ25" i="3"/>
  <c r="FU25" i="3"/>
  <c r="DK25" i="3"/>
  <c r="HM25" i="3"/>
  <c r="FV25" i="3"/>
  <c r="FF11" i="3"/>
  <c r="DJ25" i="3"/>
  <c r="AX25" i="3"/>
  <c r="FH25" i="3"/>
  <c r="FG11" i="3"/>
  <c r="FA25" i="3"/>
  <c r="FO25" i="3"/>
  <c r="CS25" i="3"/>
  <c r="AC25" i="3"/>
  <c r="FG31" i="3"/>
  <c r="FE24" i="3"/>
  <c r="FF19" i="3"/>
  <c r="FE11" i="3"/>
  <c r="DA25" i="3"/>
  <c r="AG25" i="3"/>
  <c r="GG25" i="3"/>
  <c r="AA25" i="3"/>
  <c r="AP25" i="3"/>
  <c r="Z25" i="3"/>
  <c r="EK25" i="3"/>
  <c r="U25" i="3"/>
  <c r="DI25" i="3"/>
  <c r="AW25" i="3"/>
  <c r="DL25" i="3"/>
  <c r="FF23" i="3"/>
  <c r="L25" i="3"/>
  <c r="HQ25" i="3"/>
  <c r="FG32" i="3"/>
  <c r="FF32" i="3"/>
  <c r="FE25" i="3"/>
  <c r="EY25" i="3"/>
  <c r="HT33" i="3"/>
  <c r="FO33" i="3"/>
  <c r="DM33" i="3"/>
  <c r="AC33" i="3"/>
  <c r="HZ33" i="3"/>
  <c r="HR27" i="3"/>
  <c r="DK33" i="3"/>
  <c r="FQ33" i="3"/>
  <c r="DE33" i="3"/>
  <c r="CG33" i="3"/>
  <c r="HS11" i="3"/>
  <c r="DA33" i="3"/>
  <c r="BI33" i="3"/>
  <c r="HR19" i="3"/>
  <c r="HQ27" i="3"/>
  <c r="FE33" i="3"/>
  <c r="CU33" i="3"/>
  <c r="CS33" i="3"/>
  <c r="AI33" i="3"/>
  <c r="GW33" i="3"/>
  <c r="FP33" i="3"/>
  <c r="HS33" i="3"/>
  <c r="FH33" i="3"/>
  <c r="HY33" i="3"/>
  <c r="FU33" i="3"/>
  <c r="HS23" i="3"/>
  <c r="IB33" i="3"/>
  <c r="FX33" i="3"/>
  <c r="CO33" i="3"/>
  <c r="BA33" i="3"/>
  <c r="AZ33" i="3"/>
  <c r="AS33" i="3"/>
  <c r="E33" i="3"/>
  <c r="DJ33" i="3"/>
  <c r="EK33" i="3"/>
  <c r="AR33" i="3"/>
  <c r="HQ24" i="3"/>
  <c r="HA33" i="3"/>
  <c r="CF33" i="3"/>
  <c r="DB33" i="3"/>
  <c r="AO33" i="3"/>
  <c r="AJ33" i="3"/>
  <c r="R33" i="3"/>
  <c r="DL33" i="3"/>
  <c r="FM33" i="3"/>
  <c r="IC5" i="3"/>
  <c r="HM5" i="3"/>
  <c r="GW5" i="3"/>
  <c r="GG5" i="3"/>
  <c r="FQ5" i="3"/>
  <c r="FA5" i="3"/>
  <c r="GN5" i="3"/>
  <c r="FI5" i="3"/>
  <c r="HD5" i="3"/>
  <c r="ES5" i="3"/>
  <c r="EC5" i="3"/>
  <c r="CN5" i="3"/>
  <c r="BI5" i="3"/>
  <c r="GO5" i="3"/>
  <c r="FY5" i="3"/>
  <c r="DT5" i="3"/>
  <c r="AB5" i="3"/>
  <c r="HR5" i="3"/>
  <c r="HA5" i="3"/>
  <c r="GE5" i="3"/>
  <c r="FN5" i="3"/>
  <c r="EI5" i="3"/>
  <c r="DS5" i="3"/>
  <c r="DJ5" i="3"/>
  <c r="DA5" i="3"/>
  <c r="CM5" i="3"/>
  <c r="CD5" i="3"/>
  <c r="BU5" i="3"/>
  <c r="BG5" i="3"/>
  <c r="AX5" i="3"/>
  <c r="AO5" i="3"/>
  <c r="AA5" i="3"/>
  <c r="R5" i="3"/>
  <c r="I5" i="3"/>
  <c r="DU5" i="3"/>
  <c r="CO5" i="3"/>
  <c r="AK5" i="3"/>
  <c r="L5" i="3"/>
  <c r="D19" i="3"/>
  <c r="FX5" i="3"/>
  <c r="CV5" i="3"/>
  <c r="AZ5" i="3"/>
  <c r="AS5" i="3"/>
  <c r="HZ5" i="3"/>
  <c r="HS5" i="3"/>
  <c r="GU5" i="3"/>
  <c r="GT5" i="3"/>
  <c r="GC5" i="3"/>
  <c r="FW5" i="3"/>
  <c r="FF5" i="3"/>
  <c r="DY5" i="3"/>
  <c r="DC5" i="3"/>
  <c r="CL5" i="3"/>
  <c r="AP5" i="3"/>
  <c r="Y5" i="3"/>
  <c r="C5" i="3"/>
  <c r="HL5" i="3"/>
  <c r="HE5" i="3"/>
  <c r="BQ5" i="3"/>
  <c r="D5" i="3"/>
  <c r="GD5" i="3"/>
  <c r="FG5" i="3"/>
  <c r="EO5" i="3"/>
  <c r="DK5" i="3"/>
  <c r="CT5" i="3"/>
  <c r="CC5" i="3"/>
  <c r="AG5" i="3"/>
  <c r="K5" i="3"/>
  <c r="C34" i="3"/>
  <c r="A10" i="3"/>
  <c r="ER5" i="3"/>
  <c r="BP5" i="3"/>
  <c r="T5" i="3"/>
  <c r="GF5" i="3"/>
  <c r="FM5" i="3"/>
  <c r="EP5" i="3"/>
  <c r="DB5" i="3"/>
  <c r="EJ5" i="3"/>
  <c r="AR5" i="3"/>
  <c r="AJ5" i="3"/>
  <c r="M5" i="3"/>
  <c r="HQ5" i="3"/>
  <c r="GL5" i="3"/>
  <c r="FV5" i="3"/>
  <c r="EH5" i="3"/>
  <c r="HU5" i="3"/>
  <c r="HT5" i="3"/>
  <c r="DD5" i="3"/>
  <c r="E5" i="3"/>
  <c r="D33" i="3"/>
  <c r="HJ5" i="3"/>
  <c r="EX5" i="3"/>
  <c r="CS5" i="3"/>
  <c r="BF5" i="3"/>
  <c r="AY5" i="3"/>
  <c r="C27" i="3"/>
  <c r="B34" i="3"/>
  <c r="A26" i="3"/>
  <c r="FP5" i="3"/>
  <c r="CF5" i="3"/>
  <c r="BH5" i="3"/>
  <c r="IA5" i="3"/>
  <c r="HY5" i="3"/>
  <c r="HB5" i="3"/>
  <c r="GM5" i="3"/>
  <c r="CU5" i="3"/>
  <c r="DM5" i="3"/>
  <c r="D25" i="3"/>
  <c r="HC5" i="3"/>
  <c r="FU5" i="3"/>
  <c r="EG5" i="3"/>
  <c r="EA5" i="3"/>
  <c r="BW5" i="3"/>
  <c r="AQ5" i="3"/>
  <c r="C17" i="3"/>
  <c r="B27" i="3"/>
  <c r="BA5" i="3"/>
  <c r="D11" i="3"/>
  <c r="DI5" i="3"/>
  <c r="CK5" i="3"/>
  <c r="B5" i="3"/>
  <c r="AI5" i="3"/>
  <c r="A17" i="3"/>
  <c r="CW5" i="3"/>
  <c r="AC5" i="3"/>
  <c r="GK5" i="3"/>
  <c r="FO5" i="3"/>
  <c r="DR5" i="3"/>
  <c r="BV5" i="3"/>
  <c r="Z5" i="3"/>
  <c r="C18" i="3"/>
  <c r="A25" i="3"/>
  <c r="EB5" i="3"/>
  <c r="BO5" i="3"/>
  <c r="C8" i="3"/>
  <c r="B18" i="3"/>
  <c r="A16" i="3"/>
  <c r="IB5" i="3"/>
  <c r="A32" i="3"/>
  <c r="U5" i="3"/>
  <c r="FH5" i="3"/>
  <c r="EZ5" i="3"/>
  <c r="CG5" i="3"/>
  <c r="EW5" i="3"/>
  <c r="EQ5" i="3"/>
  <c r="DZ5" i="3"/>
  <c r="BE5" i="3"/>
  <c r="S5" i="3"/>
  <c r="C19" i="3"/>
  <c r="B32" i="3"/>
  <c r="GV5" i="3"/>
  <c r="EK5" i="3"/>
  <c r="DQ5" i="3"/>
  <c r="CE5" i="3"/>
  <c r="C9" i="3"/>
  <c r="B19" i="3"/>
  <c r="A5" i="3"/>
  <c r="D22" i="3"/>
  <c r="IC21" i="3"/>
  <c r="HM21" i="3"/>
  <c r="GW21" i="3"/>
  <c r="GG21" i="3"/>
  <c r="FQ21" i="3"/>
  <c r="FA21" i="3"/>
  <c r="IB21" i="3"/>
  <c r="FH21" i="3"/>
  <c r="HT21" i="3"/>
  <c r="GN21" i="3"/>
  <c r="EB21" i="3"/>
  <c r="CW21" i="3"/>
  <c r="BH21" i="3"/>
  <c r="EZ21" i="3"/>
  <c r="EJ21" i="3"/>
  <c r="EC21" i="3"/>
  <c r="DD21" i="3"/>
  <c r="BX21" i="3"/>
  <c r="U21" i="3"/>
  <c r="HZ21" i="3"/>
  <c r="GU21" i="3"/>
  <c r="GD21" i="3"/>
  <c r="FM21" i="3"/>
  <c r="EQ21" i="3"/>
  <c r="DS21" i="3"/>
  <c r="DJ21" i="3"/>
  <c r="DA21" i="3"/>
  <c r="CM21" i="3"/>
  <c r="CD21" i="3"/>
  <c r="BU21" i="3"/>
  <c r="BG21" i="3"/>
  <c r="AX21" i="3"/>
  <c r="AO21" i="3"/>
  <c r="AA21" i="3"/>
  <c r="R21" i="3"/>
  <c r="I21" i="3"/>
  <c r="HU21" i="3"/>
  <c r="EK21" i="3"/>
  <c r="DE21" i="3"/>
  <c r="BY21" i="3"/>
  <c r="AJ21" i="3"/>
  <c r="E21" i="3"/>
  <c r="HQ21" i="3"/>
  <c r="HE21" i="3"/>
  <c r="HD21" i="3"/>
  <c r="AZ21" i="3"/>
  <c r="M21" i="3"/>
  <c r="HC21" i="3"/>
  <c r="GL21" i="3"/>
  <c r="GK21" i="3"/>
  <c r="FO21" i="3"/>
  <c r="FN21" i="3"/>
  <c r="EW21" i="3"/>
  <c r="EA19" i="3"/>
  <c r="DB21" i="3"/>
  <c r="CK21" i="3"/>
  <c r="BO21" i="3"/>
  <c r="S21" i="3"/>
  <c r="B21" i="3"/>
  <c r="FY21" i="3"/>
  <c r="FX21" i="3"/>
  <c r="DU21" i="3"/>
  <c r="AC21" i="3"/>
  <c r="HI21" i="3"/>
  <c r="FU21" i="3"/>
  <c r="EX21" i="3"/>
  <c r="EA11" i="3"/>
  <c r="DZ18" i="3"/>
  <c r="DZ27" i="3"/>
  <c r="CS21" i="3"/>
  <c r="BW21" i="3"/>
  <c r="BF21" i="3"/>
  <c r="J21" i="3"/>
  <c r="HL21" i="3"/>
  <c r="ES21" i="3"/>
  <c r="EB10" i="3"/>
  <c r="EB26" i="3"/>
  <c r="DT21" i="3"/>
  <c r="AS21" i="3"/>
  <c r="HS21" i="3"/>
  <c r="HJ21" i="3"/>
  <c r="GM21" i="3"/>
  <c r="EY21" i="3"/>
  <c r="EA21" i="3"/>
  <c r="DZ10" i="3"/>
  <c r="DY34" i="3"/>
  <c r="CV21" i="3"/>
  <c r="EG21" i="3"/>
  <c r="DZ19" i="3"/>
  <c r="DY25" i="3"/>
  <c r="ER21" i="3"/>
  <c r="DL21" i="3"/>
  <c r="EI21" i="3"/>
  <c r="EA27" i="3"/>
  <c r="DI21" i="3"/>
  <c r="GV21" i="3"/>
  <c r="GO21" i="3"/>
  <c r="EB11" i="3"/>
  <c r="CN21" i="3"/>
  <c r="T21" i="3"/>
  <c r="IA21" i="3"/>
  <c r="HY21" i="3"/>
  <c r="HA21" i="3"/>
  <c r="GC21" i="3"/>
  <c r="FW21" i="3"/>
  <c r="DC21" i="3"/>
  <c r="AI21" i="3"/>
  <c r="AG21" i="3"/>
  <c r="EB33" i="3"/>
  <c r="BP21" i="3"/>
  <c r="AB21" i="3"/>
  <c r="HR21" i="3"/>
  <c r="HK21" i="3"/>
  <c r="EO21" i="3"/>
  <c r="EA17" i="3"/>
  <c r="EA33" i="3"/>
  <c r="DY17" i="3"/>
  <c r="CU21" i="3"/>
  <c r="BI21" i="3"/>
  <c r="EP21" i="3"/>
  <c r="EA26" i="3"/>
  <c r="DY18" i="3"/>
  <c r="K21" i="3"/>
  <c r="FE21" i="3"/>
  <c r="BE21" i="3"/>
  <c r="FV21" i="3"/>
  <c r="DY26" i="3"/>
  <c r="CL21" i="3"/>
  <c r="BA21" i="3"/>
  <c r="GF21" i="3"/>
  <c r="FI21" i="3"/>
  <c r="BQ21" i="3"/>
  <c r="GT21" i="3"/>
  <c r="GS21" i="3"/>
  <c r="EA34" i="3"/>
  <c r="DQ21" i="3"/>
  <c r="CC21" i="3"/>
  <c r="AQ21" i="3"/>
  <c r="DZ32" i="3"/>
  <c r="Y21" i="3"/>
  <c r="EB17" i="3"/>
  <c r="CG21" i="3"/>
  <c r="CF21" i="3"/>
  <c r="D21" i="3"/>
  <c r="DZ34" i="3"/>
  <c r="AY21" i="3"/>
  <c r="EB18" i="3"/>
  <c r="DM21" i="3"/>
  <c r="DY8" i="3"/>
  <c r="FG21" i="3"/>
  <c r="FF21" i="3"/>
  <c r="DY21" i="3"/>
  <c r="BV21" i="3"/>
  <c r="AP21" i="3"/>
  <c r="Z21" i="3"/>
  <c r="EH21" i="3"/>
  <c r="FP21" i="3"/>
  <c r="L21" i="3"/>
  <c r="EA18" i="3"/>
  <c r="DZ11" i="3"/>
  <c r="DK21" i="3"/>
  <c r="CT21" i="3"/>
  <c r="C21" i="3"/>
  <c r="EA22" i="3"/>
  <c r="DY31" i="3"/>
  <c r="B24" i="3"/>
  <c r="Q21" i="3"/>
  <c r="Y13" i="3"/>
  <c r="AG17" i="3"/>
  <c r="AH8" i="3"/>
  <c r="AP29" i="3"/>
  <c r="BE29" i="3"/>
  <c r="BG17" i="3"/>
  <c r="BM6" i="3"/>
  <c r="BN5" i="3"/>
  <c r="CS24" i="3"/>
  <c r="CU29" i="3"/>
  <c r="DQ19" i="3"/>
  <c r="DY10" i="3"/>
  <c r="FF33" i="3"/>
  <c r="GD22" i="3"/>
  <c r="HI25" i="3"/>
  <c r="D24" i="3"/>
  <c r="AR21" i="3"/>
  <c r="BI20" i="3"/>
  <c r="DE5" i="3"/>
  <c r="IB20" i="3"/>
  <c r="CW9" i="3"/>
  <c r="HQ9" i="3"/>
  <c r="FW9" i="3"/>
  <c r="FE9" i="3"/>
  <c r="CU9" i="3"/>
  <c r="AK9" i="3"/>
  <c r="HS9" i="3"/>
  <c r="DM9" i="3"/>
  <c r="CG9" i="3"/>
  <c r="DK9" i="3"/>
  <c r="IB9" i="3"/>
  <c r="GG9" i="3"/>
  <c r="BI9" i="3"/>
  <c r="AR9" i="3"/>
  <c r="DJ9" i="3"/>
  <c r="AG9" i="3"/>
  <c r="CO9" i="3"/>
  <c r="AH11" i="3"/>
  <c r="CN9" i="3"/>
  <c r="CS9" i="3"/>
  <c r="FO9" i="3"/>
  <c r="FM9" i="3"/>
  <c r="CL9" i="3"/>
  <c r="AI34" i="3"/>
  <c r="AH31" i="3"/>
  <c r="AB9" i="3"/>
  <c r="HT9" i="3"/>
  <c r="HR9" i="3"/>
  <c r="DB9" i="3"/>
  <c r="AW9" i="3"/>
  <c r="AH27" i="3"/>
  <c r="AI32" i="3"/>
  <c r="AJ9" i="3"/>
  <c r="FN9" i="3"/>
  <c r="AH19" i="3"/>
  <c r="HL9" i="3"/>
  <c r="BQ9" i="3"/>
  <c r="IA9" i="3"/>
  <c r="HZ9" i="3"/>
  <c r="HY9" i="3"/>
  <c r="FX9" i="3"/>
  <c r="AP9" i="3"/>
  <c r="AG16" i="3"/>
  <c r="CV9" i="3"/>
  <c r="EP9" i="3"/>
  <c r="EO9" i="3"/>
  <c r="CU27" i="3"/>
  <c r="BI17" i="3"/>
  <c r="CW17" i="3"/>
  <c r="FN17" i="3"/>
  <c r="DA17" i="3"/>
  <c r="CU19" i="3"/>
  <c r="FX17" i="3"/>
  <c r="BY17" i="3"/>
  <c r="CT19" i="3"/>
  <c r="CS17" i="3"/>
  <c r="IB17" i="3"/>
  <c r="EK17" i="3"/>
  <c r="AK17" i="3"/>
  <c r="DD17" i="3"/>
  <c r="U17" i="3"/>
  <c r="FG17" i="3"/>
  <c r="AP17" i="3"/>
  <c r="HR17" i="3"/>
  <c r="HJ17" i="3"/>
  <c r="CU24" i="3"/>
  <c r="DJ17" i="3"/>
  <c r="DK17" i="3"/>
  <c r="CT11" i="3"/>
  <c r="AO17" i="3"/>
  <c r="DL17" i="3"/>
  <c r="HI17" i="3"/>
  <c r="CT16" i="3"/>
  <c r="FU17" i="3"/>
  <c r="AX17" i="3"/>
  <c r="EC17" i="3"/>
  <c r="DU17" i="3"/>
  <c r="EQ17" i="3"/>
  <c r="AY17" i="3"/>
  <c r="E17" i="3"/>
  <c r="HQ17" i="3"/>
  <c r="FV17" i="3"/>
  <c r="AI17" i="3"/>
  <c r="IA17" i="3"/>
  <c r="HY17" i="3"/>
  <c r="CE17" i="3"/>
  <c r="AZ17" i="3"/>
  <c r="EW17" i="3"/>
  <c r="IC13" i="3"/>
  <c r="HM13" i="3"/>
  <c r="GW13" i="3"/>
  <c r="GG13" i="3"/>
  <c r="FQ13" i="3"/>
  <c r="FA13" i="3"/>
  <c r="FX13" i="3"/>
  <c r="ES13" i="3"/>
  <c r="HL13" i="3"/>
  <c r="GF13" i="3"/>
  <c r="EZ13" i="3"/>
  <c r="ER13" i="3"/>
  <c r="DM13" i="3"/>
  <c r="BX13" i="3"/>
  <c r="IB13" i="3"/>
  <c r="HT13" i="3"/>
  <c r="EB13" i="3"/>
  <c r="CV13" i="3"/>
  <c r="BP13" i="3"/>
  <c r="AK13" i="3"/>
  <c r="L13" i="3"/>
  <c r="HI13" i="3"/>
  <c r="GM13" i="3"/>
  <c r="FV13" i="3"/>
  <c r="FE13" i="3"/>
  <c r="DS13" i="3"/>
  <c r="DJ13" i="3"/>
  <c r="DA13" i="3"/>
  <c r="CM13" i="3"/>
  <c r="CD13" i="3"/>
  <c r="BU13" i="3"/>
  <c r="BG13" i="3"/>
  <c r="AX13" i="3"/>
  <c r="AO13" i="3"/>
  <c r="AA13" i="3"/>
  <c r="R13" i="3"/>
  <c r="I13" i="3"/>
  <c r="HD13" i="3"/>
  <c r="GV13" i="3"/>
  <c r="GN13" i="3"/>
  <c r="FH13" i="3"/>
  <c r="CW13" i="3"/>
  <c r="BQ13" i="3"/>
  <c r="U13" i="3"/>
  <c r="HZ13" i="3"/>
  <c r="HU13" i="3"/>
  <c r="EJ13" i="3"/>
  <c r="DL13" i="3"/>
  <c r="CN13" i="3"/>
  <c r="AJ13" i="3"/>
  <c r="HK13" i="3"/>
  <c r="HA13" i="3"/>
  <c r="FM13" i="3"/>
  <c r="EP13" i="3"/>
  <c r="DK13" i="3"/>
  <c r="CT13" i="3"/>
  <c r="CC13" i="3"/>
  <c r="BN19" i="3"/>
  <c r="AG13" i="3"/>
  <c r="K13" i="3"/>
  <c r="GO13" i="3"/>
  <c r="DE13" i="3"/>
  <c r="CG13" i="3"/>
  <c r="BP18" i="3"/>
  <c r="BI13" i="3"/>
  <c r="BH13" i="3"/>
  <c r="AB13" i="3"/>
  <c r="HY13" i="3"/>
  <c r="HR13" i="3"/>
  <c r="HB13" i="3"/>
  <c r="GE13" i="3"/>
  <c r="EQ13" i="3"/>
  <c r="DB13" i="3"/>
  <c r="CK13" i="3"/>
  <c r="BO13" i="3"/>
  <c r="BN11" i="3"/>
  <c r="BM26" i="3"/>
  <c r="S13" i="3"/>
  <c r="B13" i="3"/>
  <c r="FP13" i="3"/>
  <c r="FI13" i="3"/>
  <c r="EC13" i="3"/>
  <c r="DD13" i="3"/>
  <c r="AR13" i="3"/>
  <c r="E13" i="3"/>
  <c r="IA13" i="3"/>
  <c r="GL13" i="3"/>
  <c r="FO13" i="3"/>
  <c r="CS13" i="3"/>
  <c r="CF13" i="3"/>
  <c r="BP19" i="3"/>
  <c r="HC13" i="3"/>
  <c r="GK13" i="3"/>
  <c r="FN13" i="3"/>
  <c r="EW13" i="3"/>
  <c r="DT13" i="3"/>
  <c r="GS13" i="3"/>
  <c r="GD13" i="3"/>
  <c r="DZ13" i="3"/>
  <c r="HE13" i="3"/>
  <c r="EK13" i="3"/>
  <c r="AC13" i="3"/>
  <c r="D13" i="3"/>
  <c r="FU13" i="3"/>
  <c r="EG13" i="3"/>
  <c r="DY13" i="3"/>
  <c r="DR13" i="3"/>
  <c r="CE13" i="3"/>
  <c r="BO27" i="3"/>
  <c r="BN34" i="3"/>
  <c r="AQ13" i="3"/>
  <c r="C13" i="3"/>
  <c r="HS13" i="3"/>
  <c r="HQ13" i="3"/>
  <c r="GT13" i="3"/>
  <c r="FF13" i="3"/>
  <c r="DQ13" i="3"/>
  <c r="BY13" i="3"/>
  <c r="M13" i="3"/>
  <c r="HJ13" i="3"/>
  <c r="EO13" i="3"/>
  <c r="EI13" i="3"/>
  <c r="EH13" i="3"/>
  <c r="CU13" i="3"/>
  <c r="BO11" i="3"/>
  <c r="BO26" i="3"/>
  <c r="BM9" i="3"/>
  <c r="AY13" i="3"/>
  <c r="AI13" i="3"/>
  <c r="BP33" i="3"/>
  <c r="BO18" i="3"/>
  <c r="BM13" i="3"/>
  <c r="BW13" i="3"/>
  <c r="BO34" i="3"/>
  <c r="BP27" i="3"/>
  <c r="T13" i="3"/>
  <c r="DC13" i="3"/>
  <c r="BN13" i="3"/>
  <c r="BN26" i="3"/>
  <c r="BM10" i="3"/>
  <c r="A13" i="3"/>
  <c r="Q13" i="3"/>
  <c r="DU13" i="3"/>
  <c r="AW13" i="3"/>
  <c r="BO19" i="3"/>
  <c r="BN31" i="3"/>
  <c r="EY13" i="3"/>
  <c r="EX13" i="3"/>
  <c r="BO17" i="3"/>
  <c r="BN27" i="3"/>
  <c r="AH13" i="3"/>
  <c r="AZ13" i="3"/>
  <c r="EA13" i="3"/>
  <c r="BO33" i="3"/>
  <c r="BA13" i="3"/>
  <c r="AS13" i="3"/>
  <c r="BN16" i="3"/>
  <c r="J13" i="3"/>
  <c r="BP9" i="3"/>
  <c r="GU13" i="3"/>
  <c r="IC29" i="3"/>
  <c r="HM29" i="3"/>
  <c r="GW29" i="3"/>
  <c r="GG29" i="3"/>
  <c r="FQ29" i="3"/>
  <c r="FA29" i="3"/>
  <c r="HL29" i="3"/>
  <c r="GV29" i="3"/>
  <c r="FP29" i="3"/>
  <c r="EK29" i="3"/>
  <c r="DL29" i="3"/>
  <c r="CG29" i="3"/>
  <c r="GO29" i="3"/>
  <c r="FY29" i="3"/>
  <c r="CF29" i="3"/>
  <c r="AZ29" i="3"/>
  <c r="AJ29" i="3"/>
  <c r="E29" i="3"/>
  <c r="HQ29" i="3"/>
  <c r="GL29" i="3"/>
  <c r="FU29" i="3"/>
  <c r="EY29" i="3"/>
  <c r="EH29" i="3"/>
  <c r="DS29" i="3"/>
  <c r="DJ29" i="3"/>
  <c r="DA29" i="3"/>
  <c r="CM29" i="3"/>
  <c r="CD29" i="3"/>
  <c r="BU29" i="3"/>
  <c r="BG29" i="3"/>
  <c r="AX29" i="3"/>
  <c r="AO29" i="3"/>
  <c r="AA29" i="3"/>
  <c r="R29" i="3"/>
  <c r="I29" i="3"/>
  <c r="FI29" i="3"/>
  <c r="ER29" i="3"/>
  <c r="BA29" i="3"/>
  <c r="AS29" i="3"/>
  <c r="T29" i="3"/>
  <c r="HY29" i="3"/>
  <c r="GN29" i="3"/>
  <c r="DM29" i="3"/>
  <c r="CN29" i="3"/>
  <c r="BP29" i="3"/>
  <c r="AK29" i="3"/>
  <c r="D29" i="3"/>
  <c r="HJ29" i="3"/>
  <c r="GM19" i="3"/>
  <c r="GM29" i="3"/>
  <c r="GK11" i="3"/>
  <c r="EG29" i="3"/>
  <c r="CS29" i="3"/>
  <c r="BW29" i="3"/>
  <c r="BF29" i="3"/>
  <c r="J29" i="3"/>
  <c r="IB29" i="3"/>
  <c r="HU29" i="3"/>
  <c r="FH29" i="3"/>
  <c r="BI29" i="3"/>
  <c r="HZ29" i="3"/>
  <c r="GS29" i="3"/>
  <c r="GL11" i="3"/>
  <c r="FV29" i="3"/>
  <c r="EA29" i="3"/>
  <c r="CE29" i="3"/>
  <c r="BN29" i="3"/>
  <c r="AW29" i="3"/>
  <c r="A29" i="3"/>
  <c r="GN17" i="3"/>
  <c r="GN33" i="3"/>
  <c r="EJ29" i="3"/>
  <c r="BH29" i="3"/>
  <c r="L29" i="3"/>
  <c r="HK29" i="3"/>
  <c r="GL33" i="3"/>
  <c r="FW29" i="3"/>
  <c r="FF29" i="3"/>
  <c r="FE29" i="3"/>
  <c r="EI29" i="3"/>
  <c r="DR29" i="3"/>
  <c r="GT29" i="3"/>
  <c r="GM11" i="3"/>
  <c r="GK34" i="3"/>
  <c r="GC29" i="3"/>
  <c r="EZ29" i="3"/>
  <c r="EB29" i="3"/>
  <c r="BX29" i="3"/>
  <c r="AC29" i="3"/>
  <c r="HC29" i="3"/>
  <c r="GL18" i="3"/>
  <c r="GK25" i="3"/>
  <c r="FO29" i="3"/>
  <c r="DZ29" i="3"/>
  <c r="GN9" i="3"/>
  <c r="ES29" i="3"/>
  <c r="DD29" i="3"/>
  <c r="HS29" i="3"/>
  <c r="GM17" i="3"/>
  <c r="GK9" i="3"/>
  <c r="GK27" i="3"/>
  <c r="GE29" i="3"/>
  <c r="DY29" i="3"/>
  <c r="CK29" i="3"/>
  <c r="BM29" i="3"/>
  <c r="Y29" i="3"/>
  <c r="HT29" i="3"/>
  <c r="GN18" i="3"/>
  <c r="GF29" i="3"/>
  <c r="DU29" i="3"/>
  <c r="CO29" i="3"/>
  <c r="AR29" i="3"/>
  <c r="U29" i="3"/>
  <c r="M29" i="3"/>
  <c r="HI29" i="3"/>
  <c r="GU29" i="3"/>
  <c r="GL25" i="3"/>
  <c r="GK10" i="3"/>
  <c r="FG29" i="3"/>
  <c r="EQ29" i="3"/>
  <c r="DQ29" i="3"/>
  <c r="GL34" i="3"/>
  <c r="EX29" i="3"/>
  <c r="EW29" i="3"/>
  <c r="CT29" i="3"/>
  <c r="CL29" i="3"/>
  <c r="C29" i="3"/>
  <c r="BQ29" i="3"/>
  <c r="GK16" i="3"/>
  <c r="FN29" i="3"/>
  <c r="GL17" i="3"/>
  <c r="AG29" i="3"/>
  <c r="EC29" i="3"/>
  <c r="HB29" i="3"/>
  <c r="HA29" i="3"/>
  <c r="DB29" i="3"/>
  <c r="AY29" i="3"/>
  <c r="AI29" i="3"/>
  <c r="S29" i="3"/>
  <c r="B29" i="3"/>
  <c r="CW29" i="3"/>
  <c r="CV29" i="3"/>
  <c r="GM24" i="3"/>
  <c r="EO29" i="3"/>
  <c r="DI29" i="3"/>
  <c r="Q29" i="3"/>
  <c r="GN26" i="3"/>
  <c r="GK18" i="3"/>
  <c r="BY29" i="3"/>
  <c r="GL26" i="3"/>
  <c r="AB29" i="3"/>
  <c r="GD29" i="3"/>
  <c r="BO29" i="3"/>
  <c r="AH29" i="3"/>
  <c r="GL16" i="3"/>
  <c r="FM29" i="3"/>
  <c r="EP29" i="3"/>
  <c r="HD29" i="3"/>
  <c r="DE29" i="3"/>
  <c r="GM25" i="3"/>
  <c r="HR29" i="3"/>
  <c r="GM27" i="3"/>
  <c r="GK19" i="3"/>
  <c r="DK29" i="3"/>
  <c r="A33" i="3"/>
  <c r="C12" i="3"/>
  <c r="L9" i="3"/>
  <c r="A23" i="3"/>
  <c r="B23" i="3"/>
  <c r="C11" i="3"/>
  <c r="K29" i="3"/>
  <c r="AA17" i="3"/>
  <c r="AG7" i="3"/>
  <c r="AH5" i="3"/>
  <c r="AO25" i="3"/>
  <c r="AQ29" i="3"/>
  <c r="AW21" i="3"/>
  <c r="BE26" i="3"/>
  <c r="BF16" i="3"/>
  <c r="BG16" i="3"/>
  <c r="BM5" i="3"/>
  <c r="BO25" i="3"/>
  <c r="BV13" i="3"/>
  <c r="CD33" i="3"/>
  <c r="CE33" i="3"/>
  <c r="CL28" i="3"/>
  <c r="CM28" i="3"/>
  <c r="CS23" i="3"/>
  <c r="CU12" i="3"/>
  <c r="DB25" i="3"/>
  <c r="DI33" i="3"/>
  <c r="DQ14" i="3"/>
  <c r="DY9" i="3"/>
  <c r="FF9" i="3"/>
  <c r="FN20" i="3"/>
  <c r="GD20" i="3"/>
  <c r="GM28" i="3"/>
  <c r="HB21" i="3"/>
  <c r="D23" i="3"/>
  <c r="AR20" i="3"/>
  <c r="BX5" i="3"/>
  <c r="FX29" i="3"/>
  <c r="HM14" i="3"/>
  <c r="GN14" i="3"/>
  <c r="FI14" i="3"/>
  <c r="EC14" i="3"/>
  <c r="DM14" i="3"/>
  <c r="CW14" i="3"/>
  <c r="CG14" i="3"/>
  <c r="BQ14" i="3"/>
  <c r="BA14" i="3"/>
  <c r="HE14" i="3"/>
  <c r="FY14" i="3"/>
  <c r="CN14" i="3"/>
  <c r="BI14" i="3"/>
  <c r="AR14" i="3"/>
  <c r="AB14" i="3"/>
  <c r="L14" i="3"/>
  <c r="HZ14" i="3"/>
  <c r="HQ14" i="3"/>
  <c r="HC14" i="3"/>
  <c r="GT14" i="3"/>
  <c r="GK14" i="3"/>
  <c r="FW14" i="3"/>
  <c r="FN14" i="3"/>
  <c r="FE14" i="3"/>
  <c r="EQ14" i="3"/>
  <c r="EH14" i="3"/>
  <c r="DU14" i="3"/>
  <c r="CO14" i="3"/>
  <c r="HR14" i="3"/>
  <c r="HA14" i="3"/>
  <c r="GE14" i="3"/>
  <c r="EI14" i="3"/>
  <c r="IB14" i="3"/>
  <c r="HT14" i="3"/>
  <c r="HL14" i="3"/>
  <c r="EB14" i="3"/>
  <c r="CV14" i="3"/>
  <c r="BX11" i="3"/>
  <c r="BP14" i="3"/>
  <c r="AK14" i="3"/>
  <c r="FH14" i="3"/>
  <c r="FA14" i="3"/>
  <c r="EK14" i="3"/>
  <c r="T14" i="3"/>
  <c r="GD14" i="3"/>
  <c r="FG14" i="3"/>
  <c r="EO14" i="3"/>
  <c r="DY14" i="3"/>
  <c r="DC14" i="3"/>
  <c r="CL14" i="3"/>
  <c r="BW11" i="3"/>
  <c r="BG14" i="3"/>
  <c r="AP14" i="3"/>
  <c r="Y14" i="3"/>
  <c r="C14" i="3"/>
  <c r="HU14" i="3"/>
  <c r="EJ14" i="3"/>
  <c r="DL14" i="3"/>
  <c r="BX19" i="3"/>
  <c r="AJ14" i="3"/>
  <c r="HK14" i="3"/>
  <c r="FM14" i="3"/>
  <c r="EP14" i="3"/>
  <c r="DK14" i="3"/>
  <c r="CT14" i="3"/>
  <c r="CC14" i="3"/>
  <c r="BV18" i="3"/>
  <c r="BU34" i="3"/>
  <c r="AX14" i="3"/>
  <c r="AG14" i="3"/>
  <c r="K14" i="3"/>
  <c r="GV14" i="3"/>
  <c r="GO14" i="3"/>
  <c r="HY14" i="3"/>
  <c r="HB14" i="3"/>
  <c r="DB14" i="3"/>
  <c r="DE14" i="3"/>
  <c r="BH14" i="3"/>
  <c r="DS14" i="3"/>
  <c r="IC14" i="3"/>
  <c r="BX9" i="3"/>
  <c r="FO14" i="3"/>
  <c r="EA14" i="3"/>
  <c r="DT14" i="3"/>
  <c r="BX14" i="3"/>
  <c r="HI14" i="3"/>
  <c r="GS14" i="3"/>
  <c r="DZ14" i="3"/>
  <c r="BW19" i="3"/>
  <c r="BV14" i="3"/>
  <c r="BV25" i="3"/>
  <c r="BU9" i="3"/>
  <c r="AH14" i="3"/>
  <c r="J14" i="3"/>
  <c r="HD14" i="3"/>
  <c r="FQ14" i="3"/>
  <c r="AC14" i="3"/>
  <c r="U14" i="3"/>
  <c r="D14" i="3"/>
  <c r="FU14" i="3"/>
  <c r="EG14" i="3"/>
  <c r="DR14" i="3"/>
  <c r="DJ14" i="3"/>
  <c r="IB30" i="3"/>
  <c r="GG30" i="3"/>
  <c r="FH30" i="3"/>
  <c r="ES30" i="3"/>
  <c r="EC30" i="3"/>
  <c r="DM30" i="3"/>
  <c r="CW30" i="3"/>
  <c r="CG30" i="3"/>
  <c r="BQ30" i="3"/>
  <c r="BA30" i="3"/>
  <c r="HU30" i="3"/>
  <c r="GO30" i="3"/>
  <c r="FI30" i="3"/>
  <c r="EB30" i="3"/>
  <c r="BH30" i="3"/>
  <c r="AR30" i="3"/>
  <c r="AB30" i="3"/>
  <c r="L30" i="3"/>
  <c r="HZ30" i="3"/>
  <c r="HQ30" i="3"/>
  <c r="HC30" i="3"/>
  <c r="GT30" i="3"/>
  <c r="GK30" i="3"/>
  <c r="FW30" i="3"/>
  <c r="FN30" i="3"/>
  <c r="FE30" i="3"/>
  <c r="EQ30" i="3"/>
  <c r="EH30" i="3"/>
  <c r="HM30" i="3"/>
  <c r="HE30" i="3"/>
  <c r="GW30" i="3"/>
  <c r="FQ30" i="3"/>
  <c r="EK30" i="3"/>
  <c r="DE30" i="3"/>
  <c r="BY30" i="3"/>
  <c r="U30" i="3"/>
  <c r="GU30" i="3"/>
  <c r="GD30" i="3"/>
  <c r="FM30" i="3"/>
  <c r="FY30" i="3"/>
  <c r="FA30" i="3"/>
  <c r="DL30" i="3"/>
  <c r="CF30" i="3"/>
  <c r="AZ30" i="3"/>
  <c r="AJ30" i="3"/>
  <c r="E30" i="3"/>
  <c r="HT30" i="3"/>
  <c r="EZ30" i="3"/>
  <c r="ER30" i="3"/>
  <c r="CO30" i="3"/>
  <c r="AS30" i="3"/>
  <c r="HS30" i="3"/>
  <c r="HI30" i="3"/>
  <c r="FU30" i="3"/>
  <c r="EX30" i="3"/>
  <c r="DS30" i="3"/>
  <c r="DB30" i="3"/>
  <c r="CK30" i="3"/>
  <c r="BO30" i="3"/>
  <c r="AO30" i="3"/>
  <c r="S30" i="3"/>
  <c r="B30" i="3"/>
  <c r="GV11" i="3"/>
  <c r="GV27" i="3"/>
  <c r="GN30" i="3"/>
  <c r="CN30" i="3"/>
  <c r="BP30" i="3"/>
  <c r="AK30" i="3"/>
  <c r="D30" i="3"/>
  <c r="HJ30" i="3"/>
  <c r="GU26" i="3"/>
  <c r="GS19" i="3"/>
  <c r="GM30" i="3"/>
  <c r="EY30" i="3"/>
  <c r="EG30" i="3"/>
  <c r="DJ30" i="3"/>
  <c r="CS30" i="3"/>
  <c r="BW30" i="3"/>
  <c r="BF30" i="3"/>
  <c r="AA30" i="3"/>
  <c r="J30" i="3"/>
  <c r="GV30" i="3"/>
  <c r="BI30" i="3"/>
  <c r="T30" i="3"/>
  <c r="GU27" i="3"/>
  <c r="GT19" i="3"/>
  <c r="GS10" i="3"/>
  <c r="GS30" i="3"/>
  <c r="FV30" i="3"/>
  <c r="GU17" i="3"/>
  <c r="EA30" i="3"/>
  <c r="DA30" i="3"/>
  <c r="FP30" i="3"/>
  <c r="CV30" i="3"/>
  <c r="GT11" i="3"/>
  <c r="GT25" i="3"/>
  <c r="EP30" i="3"/>
  <c r="CT30" i="3"/>
  <c r="EJ30" i="3"/>
  <c r="BX30" i="3"/>
  <c r="AC30" i="3"/>
  <c r="GU9" i="3"/>
  <c r="GS33" i="3"/>
  <c r="FO30" i="3"/>
  <c r="FF30" i="3"/>
  <c r="DZ30" i="3"/>
  <c r="CM30" i="3"/>
  <c r="AY30" i="3"/>
  <c r="K30" i="3"/>
  <c r="DD30" i="3"/>
  <c r="GU10" i="3"/>
  <c r="GS17" i="3"/>
  <c r="GE30" i="3"/>
  <c r="DY30" i="3"/>
  <c r="DR30" i="3"/>
  <c r="I24" i="3"/>
  <c r="J26" i="3"/>
  <c r="Q30" i="3"/>
  <c r="AW14" i="3"/>
  <c r="AX30" i="3"/>
  <c r="AX6" i="3"/>
  <c r="BE22" i="3"/>
  <c r="BM30" i="3"/>
  <c r="BO6" i="3"/>
  <c r="BV23" i="3"/>
  <c r="CS14" i="3"/>
  <c r="DI30" i="3"/>
  <c r="EG22" i="3"/>
  <c r="EH23" i="3"/>
  <c r="EI30" i="3"/>
  <c r="EO30" i="3"/>
  <c r="GT33" i="3"/>
  <c r="GU33" i="3"/>
  <c r="HR22" i="3"/>
  <c r="AZ14" i="3"/>
  <c r="EJ9" i="3"/>
  <c r="FX14" i="3"/>
  <c r="GW10" i="3"/>
  <c r="FP10" i="3"/>
  <c r="EC10" i="3"/>
  <c r="M10" i="3"/>
  <c r="E10" i="3"/>
  <c r="DA10" i="3"/>
  <c r="HE10" i="3"/>
  <c r="U10" i="3"/>
  <c r="FV10" i="3"/>
  <c r="AC10" i="3"/>
  <c r="DI10" i="3"/>
  <c r="HZ10" i="3"/>
  <c r="FF10" i="3"/>
  <c r="DM10" i="3"/>
  <c r="CG10" i="3"/>
  <c r="HQ10" i="3"/>
  <c r="DK10" i="3"/>
  <c r="GG10" i="3"/>
  <c r="ES10" i="3"/>
  <c r="AR10" i="3"/>
  <c r="FW10" i="3"/>
  <c r="DC10" i="3"/>
  <c r="IC26" i="3"/>
  <c r="EC26" i="3"/>
  <c r="CG26" i="3"/>
  <c r="GW26" i="3"/>
  <c r="IA26" i="3"/>
  <c r="HY26" i="3"/>
  <c r="DD26" i="3"/>
  <c r="FM26" i="3"/>
  <c r="DC26" i="3"/>
  <c r="HU26" i="3"/>
  <c r="GG26" i="3"/>
  <c r="ES26" i="3"/>
  <c r="HQ26" i="3"/>
  <c r="FM19" i="3"/>
  <c r="DM26" i="3"/>
  <c r="BQ26" i="3"/>
  <c r="E26" i="3"/>
  <c r="DK26" i="3"/>
  <c r="AO26" i="3"/>
  <c r="HM26" i="3"/>
  <c r="CW26" i="3"/>
  <c r="FV26" i="3"/>
  <c r="FN19" i="3"/>
  <c r="DJ26" i="3"/>
  <c r="IB15" i="3"/>
  <c r="HL15" i="3"/>
  <c r="GV15" i="3"/>
  <c r="GF15" i="3"/>
  <c r="FP15" i="3"/>
  <c r="EZ15" i="3"/>
  <c r="IC15" i="3"/>
  <c r="HD15" i="3"/>
  <c r="FY15" i="3"/>
  <c r="ES15" i="3"/>
  <c r="EC15" i="3"/>
  <c r="DD15" i="3"/>
  <c r="BY15" i="3"/>
  <c r="AZ15" i="3"/>
  <c r="DT15" i="3"/>
  <c r="BI15" i="3"/>
  <c r="AB15" i="3"/>
  <c r="IA15" i="3"/>
  <c r="HJ15" i="3"/>
  <c r="GS15" i="3"/>
  <c r="FN15" i="3"/>
  <c r="EW15" i="3"/>
  <c r="EA15" i="3"/>
  <c r="DR15" i="3"/>
  <c r="DI15" i="3"/>
  <c r="CU15" i="3"/>
  <c r="CL15" i="3"/>
  <c r="CC15" i="3"/>
  <c r="BO15" i="3"/>
  <c r="BF15" i="3"/>
  <c r="AW15" i="3"/>
  <c r="AI15" i="3"/>
  <c r="Z15" i="3"/>
  <c r="Q15" i="3"/>
  <c r="C15" i="3"/>
  <c r="DU15" i="3"/>
  <c r="CO15" i="3"/>
  <c r="L15" i="3"/>
  <c r="HR15" i="3"/>
  <c r="HT15" i="3"/>
  <c r="GN15" i="3"/>
  <c r="GG15" i="3"/>
  <c r="ER15" i="3"/>
  <c r="DM15" i="3"/>
  <c r="CF11" i="3"/>
  <c r="BP15" i="3"/>
  <c r="D15" i="3"/>
  <c r="GU15" i="3"/>
  <c r="GC15" i="3"/>
  <c r="FF15" i="3"/>
  <c r="DQ15" i="3"/>
  <c r="BU15" i="3"/>
  <c r="AY15" i="3"/>
  <c r="AH15" i="3"/>
  <c r="FH15" i="3"/>
  <c r="FA15" i="3"/>
  <c r="EK15" i="3"/>
  <c r="CN15" i="3"/>
  <c r="T15" i="3"/>
  <c r="HA15" i="3"/>
  <c r="GD15" i="3"/>
  <c r="FG15" i="3"/>
  <c r="EO15" i="3"/>
  <c r="DY15" i="3"/>
  <c r="DC15" i="3"/>
  <c r="CE10" i="3"/>
  <c r="CD26" i="3"/>
  <c r="BG15" i="3"/>
  <c r="AP15" i="3"/>
  <c r="Y15" i="3"/>
  <c r="HU15" i="3"/>
  <c r="CF26" i="3"/>
  <c r="AJ15" i="3"/>
  <c r="GE15" i="3"/>
  <c r="FM15" i="3"/>
  <c r="EP15" i="3"/>
  <c r="EJ15" i="3"/>
  <c r="DL15" i="3"/>
  <c r="CG15" i="3"/>
  <c r="HK15" i="3"/>
  <c r="EQ15" i="3"/>
  <c r="DK15" i="3"/>
  <c r="CT15" i="3"/>
  <c r="GO15" i="3"/>
  <c r="FX15" i="3"/>
  <c r="BA15" i="3"/>
  <c r="AS15" i="3"/>
  <c r="HC15" i="3"/>
  <c r="EY15" i="3"/>
  <c r="CM15" i="3"/>
  <c r="DE15" i="3"/>
  <c r="AK15" i="3"/>
  <c r="FO15" i="3"/>
  <c r="FE15" i="3"/>
  <c r="DS15" i="3"/>
  <c r="CD19" i="3"/>
  <c r="CC26" i="3"/>
  <c r="BM15" i="3"/>
  <c r="AO15" i="3"/>
  <c r="A15" i="3"/>
  <c r="HE15" i="3"/>
  <c r="EB15" i="3"/>
  <c r="CV15" i="3"/>
  <c r="BX15" i="3"/>
  <c r="HZ15" i="3"/>
  <c r="HI15" i="3"/>
  <c r="DZ15" i="3"/>
  <c r="IB23" i="3"/>
  <c r="HL23" i="3"/>
  <c r="GV23" i="3"/>
  <c r="GF23" i="3"/>
  <c r="FP23" i="3"/>
  <c r="EZ23" i="3"/>
  <c r="HM23" i="3"/>
  <c r="GN23" i="3"/>
  <c r="FI23" i="3"/>
  <c r="GG23" i="3"/>
  <c r="FA23" i="3"/>
  <c r="DM23" i="3"/>
  <c r="CN23" i="3"/>
  <c r="BI23" i="3"/>
  <c r="HD23" i="3"/>
  <c r="FX23" i="3"/>
  <c r="FH23" i="3"/>
  <c r="EB23" i="3"/>
  <c r="CW23" i="3"/>
  <c r="CV23" i="3"/>
  <c r="BQ23" i="3"/>
  <c r="BP23" i="3"/>
  <c r="L23" i="3"/>
  <c r="HR23" i="3"/>
  <c r="HA23" i="3"/>
  <c r="GE23" i="3"/>
  <c r="FE23" i="3"/>
  <c r="EI23" i="3"/>
  <c r="EA23" i="3"/>
  <c r="DR23" i="3"/>
  <c r="DI23" i="3"/>
  <c r="CU23" i="3"/>
  <c r="CL23" i="3"/>
  <c r="CC23" i="3"/>
  <c r="BO23" i="3"/>
  <c r="BF23" i="3"/>
  <c r="AW23" i="3"/>
  <c r="AI23" i="3"/>
  <c r="Z23" i="3"/>
  <c r="Q23" i="3"/>
  <c r="C23" i="3"/>
  <c r="ER19" i="3"/>
  <c r="EC23" i="3"/>
  <c r="BX23" i="3"/>
  <c r="AK23" i="3"/>
  <c r="HZ23" i="3"/>
  <c r="FQ23" i="3"/>
  <c r="DD23" i="3"/>
  <c r="CF23" i="3"/>
  <c r="BA23" i="3"/>
  <c r="AR23" i="3"/>
  <c r="HY23" i="3"/>
  <c r="FM23" i="3"/>
  <c r="EQ11" i="3"/>
  <c r="EQ23" i="3"/>
  <c r="EP23" i="3"/>
  <c r="DY23" i="3"/>
  <c r="DC23" i="3"/>
  <c r="BG23" i="3"/>
  <c r="AP23" i="3"/>
  <c r="Y23" i="3"/>
  <c r="BY23" i="3"/>
  <c r="E23" i="3"/>
  <c r="IA23" i="3"/>
  <c r="HC23" i="3"/>
  <c r="HB23" i="3"/>
  <c r="GK23" i="3"/>
  <c r="FN23" i="3"/>
  <c r="EQ34" i="3"/>
  <c r="EO27" i="3"/>
  <c r="DK23" i="3"/>
  <c r="CT23" i="3"/>
  <c r="AX23" i="3"/>
  <c r="AG23" i="3"/>
  <c r="K23" i="3"/>
  <c r="HE23" i="3"/>
  <c r="ER34" i="3"/>
  <c r="AZ23" i="3"/>
  <c r="M23" i="3"/>
  <c r="FO23" i="3"/>
  <c r="EQ25" i="3"/>
  <c r="DS23" i="3"/>
  <c r="U23" i="3"/>
  <c r="HQ23" i="3"/>
  <c r="HI23" i="3"/>
  <c r="GL23" i="3"/>
  <c r="EW23" i="3"/>
  <c r="EP26" i="3"/>
  <c r="EO17" i="3"/>
  <c r="DB23" i="3"/>
  <c r="HT23" i="3"/>
  <c r="GW23" i="3"/>
  <c r="DU23" i="3"/>
  <c r="CO23" i="3"/>
  <c r="HJ23" i="3"/>
  <c r="GU23" i="3"/>
  <c r="FV23" i="3"/>
  <c r="EQ9" i="3"/>
  <c r="EQ27" i="3"/>
  <c r="EO19" i="3"/>
  <c r="DQ23" i="3"/>
  <c r="FY23" i="3"/>
  <c r="ER23" i="3"/>
  <c r="BH23" i="3"/>
  <c r="AJ23" i="3"/>
  <c r="FG23" i="3"/>
  <c r="EX23" i="3"/>
  <c r="EQ10" i="3"/>
  <c r="EP17" i="3"/>
  <c r="EO33" i="3"/>
  <c r="BE23" i="3"/>
  <c r="ER25" i="3"/>
  <c r="DL23" i="3"/>
  <c r="AS23" i="3"/>
  <c r="GM23" i="3"/>
  <c r="FW23" i="3"/>
  <c r="EP18" i="3"/>
  <c r="EP33" i="3"/>
  <c r="DA23" i="3"/>
  <c r="IB31" i="3"/>
  <c r="HL31" i="3"/>
  <c r="GV31" i="3"/>
  <c r="GF31" i="3"/>
  <c r="FP31" i="3"/>
  <c r="EZ31" i="3"/>
  <c r="GW31" i="3"/>
  <c r="FX31" i="3"/>
  <c r="HT31" i="3"/>
  <c r="GN31" i="3"/>
  <c r="ER31" i="3"/>
  <c r="CW31" i="3"/>
  <c r="BX31" i="3"/>
  <c r="IC31" i="3"/>
  <c r="HU31" i="3"/>
  <c r="EJ31" i="3"/>
  <c r="DD31" i="3"/>
  <c r="AK31" i="3"/>
  <c r="HZ31" i="3"/>
  <c r="HI31" i="3"/>
  <c r="GM31" i="3"/>
  <c r="FV31" i="3"/>
  <c r="EQ31" i="3"/>
  <c r="EA31" i="3"/>
  <c r="DR31" i="3"/>
  <c r="DI31" i="3"/>
  <c r="CU31" i="3"/>
  <c r="CL31" i="3"/>
  <c r="CC31" i="3"/>
  <c r="BO31" i="3"/>
  <c r="BF31" i="3"/>
  <c r="AW31" i="3"/>
  <c r="AI31" i="3"/>
  <c r="Z31" i="3"/>
  <c r="Q31" i="3"/>
  <c r="C31" i="3"/>
  <c r="HM31" i="3"/>
  <c r="HE31" i="3"/>
  <c r="GO31" i="3"/>
  <c r="GG31" i="3"/>
  <c r="FQ31" i="3"/>
  <c r="EK31" i="3"/>
  <c r="DE31" i="3"/>
  <c r="BY31" i="3"/>
  <c r="U31" i="3"/>
  <c r="HQ31" i="3"/>
  <c r="FA31" i="3"/>
  <c r="DT31" i="3"/>
  <c r="CV31" i="3"/>
  <c r="BQ31" i="3"/>
  <c r="AC31" i="3"/>
  <c r="HC11" i="3"/>
  <c r="GL31" i="3"/>
  <c r="FO31" i="3"/>
  <c r="EW31" i="3"/>
  <c r="DK31" i="3"/>
  <c r="CT31" i="3"/>
  <c r="AX31" i="3"/>
  <c r="AG31" i="3"/>
  <c r="K31" i="3"/>
  <c r="DM31" i="3"/>
  <c r="CO31" i="3"/>
  <c r="AS31" i="3"/>
  <c r="HS31" i="3"/>
  <c r="HB34" i="3"/>
  <c r="FU31" i="3"/>
  <c r="EX31" i="3"/>
  <c r="DS31" i="3"/>
  <c r="DB31" i="3"/>
  <c r="CK31" i="3"/>
  <c r="AO31" i="3"/>
  <c r="S31" i="3"/>
  <c r="B31" i="3"/>
  <c r="HD9" i="3"/>
  <c r="FI31" i="3"/>
  <c r="FH31" i="3"/>
  <c r="CN31" i="3"/>
  <c r="CG31" i="3"/>
  <c r="BP31" i="3"/>
  <c r="D31" i="3"/>
  <c r="HA27" i="3"/>
  <c r="EG31" i="3"/>
  <c r="DJ31" i="3"/>
  <c r="CS31" i="3"/>
  <c r="DL31" i="3"/>
  <c r="HJ31" i="3"/>
  <c r="HC34" i="3"/>
  <c r="HB25" i="3"/>
  <c r="EY31" i="3"/>
  <c r="EH31" i="3"/>
  <c r="HD31" i="3"/>
  <c r="BI31" i="3"/>
  <c r="HB18" i="3"/>
  <c r="HB31" i="3"/>
  <c r="GS31" i="3"/>
  <c r="GD31" i="3"/>
  <c r="FN31" i="3"/>
  <c r="FE31" i="3"/>
  <c r="HD10" i="3"/>
  <c r="EB31" i="3"/>
  <c r="HC31" i="3"/>
  <c r="HB19" i="3"/>
  <c r="GT31" i="3"/>
  <c r="EP31" i="3"/>
  <c r="CD31" i="3"/>
  <c r="AP31" i="3"/>
  <c r="R31" i="3"/>
  <c r="HD34" i="3"/>
  <c r="ES31" i="3"/>
  <c r="CF31" i="3"/>
  <c r="BH31" i="3"/>
  <c r="AZ31" i="3"/>
  <c r="HC17" i="3"/>
  <c r="FF31" i="3"/>
  <c r="DZ31" i="3"/>
  <c r="A31" i="3"/>
  <c r="J9" i="3"/>
  <c r="Z10" i="3"/>
  <c r="AH30" i="3"/>
  <c r="AH18" i="3"/>
  <c r="AO19" i="3"/>
  <c r="BE6" i="3"/>
  <c r="BN15" i="3"/>
  <c r="BU19" i="3"/>
  <c r="BV34" i="3"/>
  <c r="BV7" i="3"/>
  <c r="BW24" i="3"/>
  <c r="CC27" i="3"/>
  <c r="CC11" i="3"/>
  <c r="CE31" i="3"/>
  <c r="CE16" i="3"/>
  <c r="CK34" i="3"/>
  <c r="DY22" i="3"/>
  <c r="EW14" i="3"/>
  <c r="EY14" i="3"/>
  <c r="FF22" i="3"/>
  <c r="FN8" i="3"/>
  <c r="GU32" i="3"/>
  <c r="HC9" i="3"/>
  <c r="HZ16" i="3"/>
  <c r="T24" i="3"/>
  <c r="AB31" i="3"/>
  <c r="AR15" i="3"/>
  <c r="ER27" i="3"/>
  <c r="ES23" i="3"/>
  <c r="EZ14" i="3"/>
  <c r="FH6" i="3"/>
  <c r="FY10" i="3"/>
  <c r="GN22" i="3"/>
  <c r="GW34" i="3"/>
  <c r="A14" i="3"/>
  <c r="B16" i="3"/>
  <c r="I34" i="3"/>
  <c r="I22" i="3"/>
  <c r="I6" i="3"/>
  <c r="J23" i="3"/>
  <c r="J8" i="3"/>
  <c r="K26" i="3"/>
  <c r="K11" i="3"/>
  <c r="R30" i="3"/>
  <c r="R15" i="3"/>
  <c r="S32" i="3"/>
  <c r="S17" i="3"/>
  <c r="Y7" i="3"/>
  <c r="Z6" i="3"/>
  <c r="AA24" i="3"/>
  <c r="AA9" i="3"/>
  <c r="AG26" i="3"/>
  <c r="AI30" i="3"/>
  <c r="AI16" i="3"/>
  <c r="AO18" i="3"/>
  <c r="AO6" i="3"/>
  <c r="AP7" i="3"/>
  <c r="AQ22" i="3"/>
  <c r="AQ10" i="3"/>
  <c r="AX15" i="3"/>
  <c r="AY31" i="3"/>
  <c r="BE32" i="3"/>
  <c r="BF22" i="3"/>
  <c r="BF8" i="3"/>
  <c r="BM24" i="3"/>
  <c r="BN14" i="3"/>
  <c r="BU31" i="3"/>
  <c r="BU18" i="3"/>
  <c r="BV33" i="3"/>
  <c r="BV6" i="3"/>
  <c r="BW23" i="3"/>
  <c r="BW8" i="3"/>
  <c r="CC25" i="3"/>
  <c r="CC10" i="3"/>
  <c r="CD27" i="3"/>
  <c r="CE30" i="3"/>
  <c r="CE15" i="3"/>
  <c r="CK32" i="3"/>
  <c r="CK16" i="3"/>
  <c r="CL32" i="3"/>
  <c r="CL19" i="3"/>
  <c r="CM34" i="3"/>
  <c r="CM22" i="3"/>
  <c r="CS8" i="3"/>
  <c r="CU22" i="3"/>
  <c r="DA26" i="3"/>
  <c r="DB10" i="3"/>
  <c r="DC18" i="3"/>
  <c r="DJ34" i="3"/>
  <c r="DJ15" i="3"/>
  <c r="DK18" i="3"/>
  <c r="DQ22" i="3"/>
  <c r="DR6" i="3"/>
  <c r="DZ24" i="3"/>
  <c r="EA8" i="3"/>
  <c r="EG15" i="3"/>
  <c r="EH16" i="3"/>
  <c r="EI19" i="3"/>
  <c r="EO23" i="3"/>
  <c r="EP27" i="3"/>
  <c r="EQ32" i="3"/>
  <c r="FN7" i="3"/>
  <c r="FO6" i="3"/>
  <c r="FU15" i="3"/>
  <c r="FV15" i="3"/>
  <c r="FW24" i="3"/>
  <c r="GC30" i="3"/>
  <c r="GD7" i="3"/>
  <c r="GE7" i="3"/>
  <c r="GK15" i="3"/>
  <c r="GL15" i="3"/>
  <c r="GM15" i="3"/>
  <c r="GS22" i="3"/>
  <c r="GT23" i="3"/>
  <c r="GU31" i="3"/>
  <c r="HA30" i="3"/>
  <c r="HB30" i="3"/>
  <c r="HB9" i="3"/>
  <c r="HC8" i="3"/>
  <c r="HI16" i="3"/>
  <c r="HJ16" i="3"/>
  <c r="HR10" i="3"/>
  <c r="HS14" i="3"/>
  <c r="D7" i="3"/>
  <c r="E15" i="3"/>
  <c r="L10" i="3"/>
  <c r="M15" i="3"/>
  <c r="T23" i="3"/>
  <c r="AC24" i="3"/>
  <c r="AJ31" i="3"/>
  <c r="AR32" i="3"/>
  <c r="AS8" i="3"/>
  <c r="BI24" i="3"/>
  <c r="BX25" i="3"/>
  <c r="CF15" i="3"/>
  <c r="CN8" i="3"/>
  <c r="EC31" i="3"/>
  <c r="ER26" i="3"/>
  <c r="ES14" i="3"/>
  <c r="FA8" i="3"/>
  <c r="FP18" i="3"/>
  <c r="FY32" i="3"/>
  <c r="GF30" i="3"/>
  <c r="GV34" i="3"/>
  <c r="HD18" i="3"/>
  <c r="IC30" i="3"/>
  <c r="GW22" i="3"/>
  <c r="FX22" i="3"/>
  <c r="ES22" i="3"/>
  <c r="EC22" i="3"/>
  <c r="DM22" i="3"/>
  <c r="CW22" i="3"/>
  <c r="CG22" i="3"/>
  <c r="BQ22" i="3"/>
  <c r="BA22" i="3"/>
  <c r="HM22" i="3"/>
  <c r="FH22" i="3"/>
  <c r="ER22" i="3"/>
  <c r="BX22" i="3"/>
  <c r="AR22" i="3"/>
  <c r="AB22" i="3"/>
  <c r="L22" i="3"/>
  <c r="HZ22" i="3"/>
  <c r="HQ22" i="3"/>
  <c r="HC22" i="3"/>
  <c r="GT22" i="3"/>
  <c r="GK22" i="3"/>
  <c r="FW22" i="3"/>
  <c r="FN22" i="3"/>
  <c r="FE22" i="3"/>
  <c r="EQ22" i="3"/>
  <c r="EH22" i="3"/>
  <c r="GF22" i="3"/>
  <c r="FP22" i="3"/>
  <c r="AK22" i="3"/>
  <c r="HI22" i="3"/>
  <c r="GM22" i="3"/>
  <c r="FV22" i="3"/>
  <c r="EZ22" i="3"/>
  <c r="EJ11" i="3"/>
  <c r="EJ22" i="3"/>
  <c r="DD22" i="3"/>
  <c r="U22" i="3"/>
  <c r="BY22" i="3"/>
  <c r="E22" i="3"/>
  <c r="IA22" i="3"/>
  <c r="HB22" i="3"/>
  <c r="GE22" i="3"/>
  <c r="EH27" i="3"/>
  <c r="EG19" i="3"/>
  <c r="DK22" i="3"/>
  <c r="CT22" i="3"/>
  <c r="CC22" i="3"/>
  <c r="AX22" i="3"/>
  <c r="AG22" i="3"/>
  <c r="K22" i="3"/>
  <c r="HE22" i="3"/>
  <c r="HD22" i="3"/>
  <c r="EJ27" i="3"/>
  <c r="EB22" i="3"/>
  <c r="AZ22" i="3"/>
  <c r="M22" i="3"/>
  <c r="GL22" i="3"/>
  <c r="FO22" i="3"/>
  <c r="EW22" i="3"/>
  <c r="EI27" i="3"/>
  <c r="EH18" i="3"/>
  <c r="EG10" i="3"/>
  <c r="DS22" i="3"/>
  <c r="DB22" i="3"/>
  <c r="CK22" i="3"/>
  <c r="BO22" i="3"/>
  <c r="AO22" i="3"/>
  <c r="S22" i="3"/>
  <c r="B22" i="3"/>
  <c r="FY22" i="3"/>
  <c r="DU22" i="3"/>
  <c r="FU22" i="3"/>
  <c r="EH19" i="3"/>
  <c r="EG11" i="3"/>
  <c r="AC22" i="3"/>
  <c r="EX22" i="3"/>
  <c r="EI18" i="3"/>
  <c r="EH9" i="3"/>
  <c r="DJ22" i="3"/>
  <c r="CS22" i="3"/>
  <c r="FI22" i="3"/>
  <c r="CF22" i="3"/>
  <c r="BH22" i="3"/>
  <c r="AJ22" i="3"/>
  <c r="FG22" i="3"/>
  <c r="EG26" i="3"/>
  <c r="DL22" i="3"/>
  <c r="AS22" i="3"/>
  <c r="EI22" i="3"/>
  <c r="EH10" i="3"/>
  <c r="EH25" i="3"/>
  <c r="DI22" i="3"/>
  <c r="DA22" i="3"/>
  <c r="CL22" i="3"/>
  <c r="BN22" i="3"/>
  <c r="BG22" i="3"/>
  <c r="Z22" i="3"/>
  <c r="HL22" i="3"/>
  <c r="GV22" i="3"/>
  <c r="GO22" i="3"/>
  <c r="EJ33" i="3"/>
  <c r="DT22" i="3"/>
  <c r="CN22" i="3"/>
  <c r="T22" i="3"/>
  <c r="HY22" i="3"/>
  <c r="HA22" i="3"/>
  <c r="GC22" i="3"/>
  <c r="FM22" i="3"/>
  <c r="EY22" i="3"/>
  <c r="EI9" i="3"/>
  <c r="EH26" i="3"/>
  <c r="EG33" i="3"/>
  <c r="DC22" i="3"/>
  <c r="B6" i="3"/>
  <c r="I11" i="3"/>
  <c r="K15" i="3"/>
  <c r="Y22" i="3"/>
  <c r="AA14" i="3"/>
  <c r="GS26" i="3"/>
  <c r="HJ22" i="3"/>
  <c r="HS22" i="3"/>
  <c r="BP6" i="3"/>
  <c r="BX27" i="3"/>
  <c r="HT22" i="3"/>
  <c r="GG34" i="3"/>
  <c r="U34" i="3"/>
  <c r="FN34" i="3"/>
  <c r="DC34" i="3"/>
  <c r="AY34" i="3"/>
  <c r="HU34" i="3"/>
  <c r="FA34" i="3"/>
  <c r="HZ19" i="3"/>
  <c r="HQ34" i="3"/>
  <c r="AK34" i="3"/>
  <c r="CT34" i="3"/>
  <c r="IB34" i="3"/>
  <c r="HE34" i="3"/>
  <c r="BA34" i="3"/>
  <c r="IA19" i="3"/>
  <c r="HZ27" i="3"/>
  <c r="DI34" i="3"/>
  <c r="DB34" i="3"/>
  <c r="FQ34" i="3"/>
  <c r="CG34" i="3"/>
  <c r="HZ11" i="3"/>
  <c r="HZ34" i="3"/>
  <c r="DA34" i="3"/>
  <c r="AG34" i="3"/>
  <c r="FI34" i="3"/>
  <c r="DM34" i="3"/>
  <c r="AC34" i="3"/>
  <c r="IA27" i="3"/>
  <c r="FO34" i="3"/>
  <c r="FE34" i="3"/>
  <c r="CS34" i="3"/>
  <c r="IB7" i="3"/>
  <c r="HL7" i="3"/>
  <c r="GV7" i="3"/>
  <c r="GF7" i="3"/>
  <c r="FP7" i="3"/>
  <c r="EZ7" i="3"/>
  <c r="HT7" i="3"/>
  <c r="GO7" i="3"/>
  <c r="IC7" i="3"/>
  <c r="GW7" i="3"/>
  <c r="FQ7" i="3"/>
  <c r="DT7" i="3"/>
  <c r="CO7" i="3"/>
  <c r="BP7" i="3"/>
  <c r="HM7" i="3"/>
  <c r="ER7" i="3"/>
  <c r="DM7" i="3"/>
  <c r="DL7" i="3"/>
  <c r="CG7" i="3"/>
  <c r="CF7" i="3"/>
  <c r="BA7" i="3"/>
  <c r="AR7" i="3"/>
  <c r="M7" i="3"/>
  <c r="HS7" i="3"/>
  <c r="HB7" i="3"/>
  <c r="FW7" i="3"/>
  <c r="FF7" i="3"/>
  <c r="EO7" i="3"/>
  <c r="DR7" i="3"/>
  <c r="DI7" i="3"/>
  <c r="CU7" i="3"/>
  <c r="CL7" i="3"/>
  <c r="CC7" i="3"/>
  <c r="BO7" i="3"/>
  <c r="BF7" i="3"/>
  <c r="AW7" i="3"/>
  <c r="AI7" i="3"/>
  <c r="Z7" i="3"/>
  <c r="Q7" i="3"/>
  <c r="C7" i="3"/>
  <c r="HU7" i="3"/>
  <c r="HE7" i="3"/>
  <c r="GG7" i="3"/>
  <c r="FY7" i="3"/>
  <c r="CN7" i="3"/>
  <c r="BH7" i="3"/>
  <c r="AB7" i="3"/>
  <c r="T11" i="3"/>
  <c r="IA7" i="3"/>
  <c r="HJ7" i="3"/>
  <c r="HD7" i="3"/>
  <c r="EB7" i="3"/>
  <c r="CW7" i="3"/>
  <c r="BY7" i="3"/>
  <c r="U7" i="3"/>
  <c r="HQ7" i="3"/>
  <c r="GS7" i="3"/>
  <c r="FV7" i="3"/>
  <c r="FE7" i="3"/>
  <c r="EY7" i="3"/>
  <c r="EH7" i="3"/>
  <c r="EG7" i="3"/>
  <c r="DZ7" i="3"/>
  <c r="CD7" i="3"/>
  <c r="BM7" i="3"/>
  <c r="AQ7" i="3"/>
  <c r="R27" i="3"/>
  <c r="FX7" i="3"/>
  <c r="DU7" i="3"/>
  <c r="BX7" i="3"/>
  <c r="AZ7" i="3"/>
  <c r="AK7" i="3"/>
  <c r="AC7" i="3"/>
  <c r="T27" i="3"/>
  <c r="HZ7" i="3"/>
  <c r="GT7" i="3"/>
  <c r="EI7" i="3"/>
  <c r="DQ7" i="3"/>
  <c r="BU7" i="3"/>
  <c r="AY7" i="3"/>
  <c r="AH7" i="3"/>
  <c r="R10" i="3"/>
  <c r="R19" i="3"/>
  <c r="Q26" i="3"/>
  <c r="ES7" i="3"/>
  <c r="AS7" i="3"/>
  <c r="L7" i="3"/>
  <c r="CV7" i="3"/>
  <c r="BQ7" i="3"/>
  <c r="GU7" i="3"/>
  <c r="GC7" i="3"/>
  <c r="DY7" i="3"/>
  <c r="DC7" i="3"/>
  <c r="DE7" i="3"/>
  <c r="T17" i="3"/>
  <c r="GK7" i="3"/>
  <c r="FU7" i="3"/>
  <c r="FG7" i="3"/>
  <c r="EW7" i="3"/>
  <c r="HA7" i="3"/>
  <c r="DB7" i="3"/>
  <c r="BW7" i="3"/>
  <c r="S10" i="3"/>
  <c r="R17" i="3"/>
  <c r="K7" i="3"/>
  <c r="I7" i="3"/>
  <c r="EJ7" i="3"/>
  <c r="DD7" i="3"/>
  <c r="AJ7" i="3"/>
  <c r="GL7" i="3"/>
  <c r="FM7" i="3"/>
  <c r="DA7" i="3"/>
  <c r="CT7" i="3"/>
  <c r="I10" i="3"/>
  <c r="K27" i="3"/>
  <c r="R32" i="3"/>
  <c r="R16" i="3"/>
  <c r="S33" i="3"/>
  <c r="S18" i="3"/>
  <c r="S6" i="3"/>
  <c r="AG15" i="3"/>
  <c r="AO34" i="3"/>
  <c r="AO7" i="3"/>
  <c r="AP22" i="3"/>
  <c r="AQ23" i="3"/>
  <c r="AQ11" i="3"/>
  <c r="AW26" i="3"/>
  <c r="BN30" i="3"/>
  <c r="CM6" i="3"/>
  <c r="DA8" i="3"/>
  <c r="DB15" i="3"/>
  <c r="EG17" i="3"/>
  <c r="EQ7" i="3"/>
  <c r="GC31" i="3"/>
  <c r="GT24" i="3"/>
  <c r="HA9" i="3"/>
  <c r="HK22" i="3"/>
  <c r="HS15" i="3"/>
  <c r="IA14" i="3"/>
  <c r="M18" i="3"/>
  <c r="CF17" i="3"/>
  <c r="FA10" i="3"/>
  <c r="FQ15" i="3"/>
  <c r="IC34" i="3"/>
  <c r="HT16" i="3"/>
  <c r="GO16" i="3"/>
  <c r="EZ16" i="3"/>
  <c r="ER16" i="3"/>
  <c r="EB16" i="3"/>
  <c r="DL16" i="3"/>
  <c r="CV16" i="3"/>
  <c r="CF16" i="3"/>
  <c r="BP16" i="3"/>
  <c r="AZ16" i="3"/>
  <c r="HD16" i="3"/>
  <c r="FX16" i="3"/>
  <c r="DT16" i="3"/>
  <c r="CO16" i="3"/>
  <c r="AK16" i="3"/>
  <c r="U16" i="3"/>
  <c r="E16" i="3"/>
  <c r="HY16" i="3"/>
  <c r="HK16" i="3"/>
  <c r="HB16" i="3"/>
  <c r="GS16" i="3"/>
  <c r="GE16" i="3"/>
  <c r="FV16" i="3"/>
  <c r="FM16" i="3"/>
  <c r="EY16" i="3"/>
  <c r="EP16" i="3"/>
  <c r="EG16" i="3"/>
  <c r="FQ16" i="3"/>
  <c r="FI16" i="3"/>
  <c r="FA16" i="3"/>
  <c r="ES16" i="3"/>
  <c r="CN16" i="3"/>
  <c r="BH16" i="3"/>
  <c r="AR16" i="3"/>
  <c r="M16" i="3"/>
  <c r="HS16" i="3"/>
  <c r="FW16" i="3"/>
  <c r="FF16" i="3"/>
  <c r="EO16" i="3"/>
  <c r="CN27" i="3"/>
  <c r="BI16" i="3"/>
  <c r="AB16" i="3"/>
  <c r="IA16" i="3"/>
  <c r="HM16" i="3"/>
  <c r="AS16" i="3"/>
  <c r="L16" i="3"/>
  <c r="GT16" i="3"/>
  <c r="EI16" i="3"/>
  <c r="DZ16" i="3"/>
  <c r="CU16" i="3"/>
  <c r="CD16" i="3"/>
  <c r="BM16" i="3"/>
  <c r="AQ16" i="3"/>
  <c r="Q16" i="3"/>
  <c r="GN16" i="3"/>
  <c r="GG16" i="3"/>
  <c r="DM16" i="3"/>
  <c r="D16" i="3"/>
  <c r="GU16" i="3"/>
  <c r="GC16" i="3"/>
  <c r="DQ16" i="3"/>
  <c r="CM18" i="3"/>
  <c r="CM27" i="3"/>
  <c r="CL16" i="3"/>
  <c r="CL34" i="3"/>
  <c r="BU16" i="3"/>
  <c r="AY16" i="3"/>
  <c r="AH16" i="3"/>
  <c r="C16" i="3"/>
  <c r="IB16" i="3"/>
  <c r="FH16" i="3"/>
  <c r="EK16" i="3"/>
  <c r="HR16" i="3"/>
  <c r="DY16" i="3"/>
  <c r="CN18" i="3"/>
  <c r="T16" i="3"/>
  <c r="HA16" i="3"/>
  <c r="GD16" i="3"/>
  <c r="FG16" i="3"/>
  <c r="DC16" i="3"/>
  <c r="CM10" i="3"/>
  <c r="HL16" i="3"/>
  <c r="FY16" i="3"/>
  <c r="CN19" i="3"/>
  <c r="BY16" i="3"/>
  <c r="GM16" i="3"/>
  <c r="CS16" i="3"/>
  <c r="IC16" i="3"/>
  <c r="BA16" i="3"/>
  <c r="HC16" i="3"/>
  <c r="EA16" i="3"/>
  <c r="CM16" i="3"/>
  <c r="CL11" i="3"/>
  <c r="CK18" i="3"/>
  <c r="BO16" i="3"/>
  <c r="AA16" i="3"/>
  <c r="DE16" i="3"/>
  <c r="CG16" i="3"/>
  <c r="FO16" i="3"/>
  <c r="FE16" i="3"/>
  <c r="EQ16" i="3"/>
  <c r="DS16" i="3"/>
  <c r="IC24" i="3"/>
  <c r="HD24" i="3"/>
  <c r="FY24" i="3"/>
  <c r="ER24" i="3"/>
  <c r="EB24" i="3"/>
  <c r="DL24" i="3"/>
  <c r="CV24" i="3"/>
  <c r="CF24" i="3"/>
  <c r="BP24" i="3"/>
  <c r="AZ24" i="3"/>
  <c r="HL24" i="3"/>
  <c r="HE24" i="3"/>
  <c r="GF24" i="3"/>
  <c r="EZ24" i="3"/>
  <c r="EC24" i="3"/>
  <c r="DD24" i="3"/>
  <c r="BY24" i="3"/>
  <c r="AK24" i="3"/>
  <c r="U24" i="3"/>
  <c r="E24" i="3"/>
  <c r="HY24" i="3"/>
  <c r="HK24" i="3"/>
  <c r="HB24" i="3"/>
  <c r="GS24" i="3"/>
  <c r="GE24" i="3"/>
  <c r="FV24" i="3"/>
  <c r="FM24" i="3"/>
  <c r="EY24" i="3"/>
  <c r="EP24" i="3"/>
  <c r="EG24" i="3"/>
  <c r="HT24" i="3"/>
  <c r="GV24" i="3"/>
  <c r="GN24" i="3"/>
  <c r="DU24" i="3"/>
  <c r="CO24" i="3"/>
  <c r="AB24" i="3"/>
  <c r="IA24" i="3"/>
  <c r="HJ24" i="3"/>
  <c r="FN24" i="3"/>
  <c r="EW24" i="3"/>
  <c r="FX24" i="3"/>
  <c r="FP24" i="3"/>
  <c r="FH24" i="3"/>
  <c r="EZ11" i="3"/>
  <c r="CW24" i="3"/>
  <c r="BQ24" i="3"/>
  <c r="L24" i="3"/>
  <c r="HR24" i="3"/>
  <c r="GW24" i="3"/>
  <c r="DE24" i="3"/>
  <c r="BH24" i="3"/>
  <c r="AJ24" i="3"/>
  <c r="HA24" i="3"/>
  <c r="GD24" i="3"/>
  <c r="FG24" i="3"/>
  <c r="EO24" i="3"/>
  <c r="DQ24" i="3"/>
  <c r="CL24" i="3"/>
  <c r="BU24" i="3"/>
  <c r="AY24" i="3"/>
  <c r="AH24" i="3"/>
  <c r="C24" i="3"/>
  <c r="FQ24" i="3"/>
  <c r="EZ18" i="3"/>
  <c r="BA24" i="3"/>
  <c r="AR24" i="3"/>
  <c r="EY19" i="3"/>
  <c r="EX11" i="3"/>
  <c r="EW11" i="3"/>
  <c r="EQ24" i="3"/>
  <c r="DY24" i="3"/>
  <c r="DC24" i="3"/>
  <c r="CC24" i="3"/>
  <c r="BG24" i="3"/>
  <c r="AP24" i="3"/>
  <c r="Y24" i="3"/>
  <c r="EZ19" i="3"/>
  <c r="BX24" i="3"/>
  <c r="HC24" i="3"/>
  <c r="GK24" i="3"/>
  <c r="EW34" i="3"/>
  <c r="DK24" i="3"/>
  <c r="CT24" i="3"/>
  <c r="EY10" i="3"/>
  <c r="HM24" i="3"/>
  <c r="EJ24" i="3"/>
  <c r="M24" i="3"/>
  <c r="FF24" i="3"/>
  <c r="EY34" i="3"/>
  <c r="EX19" i="3"/>
  <c r="EW25" i="3"/>
  <c r="EH24" i="3"/>
  <c r="DJ24" i="3"/>
  <c r="FI24" i="3"/>
  <c r="EZ9" i="3"/>
  <c r="GU24" i="3"/>
  <c r="GL24" i="3"/>
  <c r="EY17" i="3"/>
  <c r="EW26" i="3"/>
  <c r="CE24" i="3"/>
  <c r="AQ24" i="3"/>
  <c r="S24" i="3"/>
  <c r="Q24" i="3"/>
  <c r="EX24" i="3"/>
  <c r="EW9" i="3"/>
  <c r="EW27" i="3"/>
  <c r="EI24" i="3"/>
  <c r="DI24" i="3"/>
  <c r="DB24" i="3"/>
  <c r="HM32" i="3"/>
  <c r="GN32" i="3"/>
  <c r="FI32" i="3"/>
  <c r="ER32" i="3"/>
  <c r="EB32" i="3"/>
  <c r="DL32" i="3"/>
  <c r="CV32" i="3"/>
  <c r="CF32" i="3"/>
  <c r="BP32" i="3"/>
  <c r="AZ32" i="3"/>
  <c r="FH32" i="3"/>
  <c r="DM32" i="3"/>
  <c r="CN32" i="3"/>
  <c r="BI32" i="3"/>
  <c r="AK32" i="3"/>
  <c r="U32" i="3"/>
  <c r="E32" i="3"/>
  <c r="HY32" i="3"/>
  <c r="HK32" i="3"/>
  <c r="HB32" i="3"/>
  <c r="GS32" i="3"/>
  <c r="GE32" i="3"/>
  <c r="FV32" i="3"/>
  <c r="FM32" i="3"/>
  <c r="EY32" i="3"/>
  <c r="EP32" i="3"/>
  <c r="EG32" i="3"/>
  <c r="EC32" i="3"/>
  <c r="BX32" i="3"/>
  <c r="L32" i="3"/>
  <c r="HR32" i="3"/>
  <c r="HA32" i="3"/>
  <c r="FE32" i="3"/>
  <c r="EI32" i="3"/>
  <c r="IC32" i="3"/>
  <c r="HU32" i="3"/>
  <c r="GW32" i="3"/>
  <c r="EJ32" i="3"/>
  <c r="DD32" i="3"/>
  <c r="HZ32" i="3"/>
  <c r="HK19" i="3"/>
  <c r="GG32" i="3"/>
  <c r="GF32" i="3"/>
  <c r="ES32" i="3"/>
  <c r="DU32" i="3"/>
  <c r="M32" i="3"/>
  <c r="HQ32" i="3"/>
  <c r="HJ19" i="3"/>
  <c r="HI19" i="3"/>
  <c r="HC32" i="3"/>
  <c r="GK32" i="3"/>
  <c r="FN32" i="3"/>
  <c r="DY32" i="3"/>
  <c r="DC32" i="3"/>
  <c r="CC32" i="3"/>
  <c r="BG32" i="3"/>
  <c r="AP32" i="3"/>
  <c r="Y32" i="3"/>
  <c r="HT32" i="3"/>
  <c r="HL19" i="3"/>
  <c r="FA32" i="3"/>
  <c r="EZ32" i="3"/>
  <c r="DT32" i="3"/>
  <c r="BQ32" i="3"/>
  <c r="AC32" i="3"/>
  <c r="HK26" i="3"/>
  <c r="HI10" i="3"/>
  <c r="HI32" i="3"/>
  <c r="GL32" i="3"/>
  <c r="FO32" i="3"/>
  <c r="EW32" i="3"/>
  <c r="DK32" i="3"/>
  <c r="CT32" i="3"/>
  <c r="BO32" i="3"/>
  <c r="AX32" i="3"/>
  <c r="AG32" i="3"/>
  <c r="K32" i="3"/>
  <c r="IB32" i="3"/>
  <c r="GO32" i="3"/>
  <c r="EK32" i="3"/>
  <c r="CO32" i="3"/>
  <c r="AS32" i="3"/>
  <c r="HI11" i="3"/>
  <c r="HI33" i="3"/>
  <c r="FU32" i="3"/>
  <c r="EX32" i="3"/>
  <c r="DB32" i="3"/>
  <c r="HS32" i="3"/>
  <c r="HJ11" i="3"/>
  <c r="GM32" i="3"/>
  <c r="DS32" i="3"/>
  <c r="D32" i="3"/>
  <c r="HK17" i="3"/>
  <c r="HK34" i="3"/>
  <c r="HI26" i="3"/>
  <c r="EO32" i="3"/>
  <c r="CU32" i="3"/>
  <c r="CS32" i="3"/>
  <c r="HL17" i="3"/>
  <c r="HD32" i="3"/>
  <c r="FP32" i="3"/>
  <c r="HJ25" i="3"/>
  <c r="HI27" i="3"/>
  <c r="GD32" i="3"/>
  <c r="EA32" i="3"/>
  <c r="BW32" i="3"/>
  <c r="BU32" i="3"/>
  <c r="AW32" i="3"/>
  <c r="I32" i="3"/>
  <c r="HJ27" i="3"/>
  <c r="GT32" i="3"/>
  <c r="B15" i="3"/>
  <c r="C30" i="3"/>
  <c r="I33" i="3"/>
  <c r="I19" i="3"/>
  <c r="J34" i="3"/>
  <c r="J22" i="3"/>
  <c r="J7" i="3"/>
  <c r="K24" i="3"/>
  <c r="K10" i="3"/>
  <c r="Q27" i="3"/>
  <c r="Q11" i="3"/>
  <c r="R26" i="3"/>
  <c r="R14" i="3"/>
  <c r="S16" i="3"/>
  <c r="Y31" i="3"/>
  <c r="Y19" i="3"/>
  <c r="Z33" i="3"/>
  <c r="AA23" i="3"/>
  <c r="AA8" i="3"/>
  <c r="AG10" i="3"/>
  <c r="AI14" i="3"/>
  <c r="AO32" i="3"/>
  <c r="AP34" i="3"/>
  <c r="AP18" i="3"/>
  <c r="AQ34" i="3"/>
  <c r="AQ6" i="3"/>
  <c r="AW24" i="3"/>
  <c r="AX26" i="3"/>
  <c r="AY14" i="3"/>
  <c r="BE31" i="3"/>
  <c r="BE16" i="3"/>
  <c r="BF6" i="3"/>
  <c r="BG8" i="3"/>
  <c r="BM23" i="3"/>
  <c r="BO14" i="3"/>
  <c r="BU30" i="3"/>
  <c r="BU17" i="3"/>
  <c r="BV32" i="3"/>
  <c r="BW22" i="3"/>
  <c r="BW6" i="3"/>
  <c r="CC9" i="3"/>
  <c r="CD24" i="3"/>
  <c r="CD11" i="3"/>
  <c r="CE26" i="3"/>
  <c r="CE14" i="3"/>
  <c r="CK15" i="3"/>
  <c r="CL30" i="3"/>
  <c r="CL18" i="3"/>
  <c r="CM33" i="3"/>
  <c r="CS26" i="3"/>
  <c r="CS7" i="3"/>
  <c r="CU14" i="3"/>
  <c r="DJ7" i="3"/>
  <c r="DR32" i="3"/>
  <c r="DZ23" i="3"/>
  <c r="EA7" i="3"/>
  <c r="EG6" i="3"/>
  <c r="EH15" i="3"/>
  <c r="EI15" i="3"/>
  <c r="EO22" i="3"/>
  <c r="EP22" i="3"/>
  <c r="EQ26" i="3"/>
  <c r="EW30" i="3"/>
  <c r="EX33" i="3"/>
  <c r="EX7" i="3"/>
  <c r="FM27" i="3"/>
  <c r="FN27" i="3"/>
  <c r="FO27" i="3"/>
  <c r="FU6" i="3"/>
  <c r="FV14" i="3"/>
  <c r="GC24" i="3"/>
  <c r="GE31" i="3"/>
  <c r="GE6" i="3"/>
  <c r="GL14" i="3"/>
  <c r="GM14" i="3"/>
  <c r="GU22" i="3"/>
  <c r="HB6" i="3"/>
  <c r="HC7" i="3"/>
  <c r="HI7" i="3"/>
  <c r="HJ14" i="3"/>
  <c r="HK11" i="3"/>
  <c r="HQ15" i="3"/>
  <c r="HY34" i="3"/>
  <c r="HY7" i="3"/>
  <c r="IA32" i="3"/>
  <c r="E14" i="3"/>
  <c r="M14" i="3"/>
  <c r="U18" i="3"/>
  <c r="AB23" i="3"/>
  <c r="AC23" i="3"/>
  <c r="AR31" i="3"/>
  <c r="BI22" i="3"/>
  <c r="BX17" i="3"/>
  <c r="BY14" i="3"/>
  <c r="CF14" i="3"/>
  <c r="CN34" i="3"/>
  <c r="CV26" i="3"/>
  <c r="DL10" i="3"/>
  <c r="EJ34" i="3"/>
  <c r="EK24" i="3"/>
  <c r="ER14" i="3"/>
  <c r="FA26" i="3"/>
  <c r="FA7" i="3"/>
  <c r="FP16" i="3"/>
  <c r="FY31" i="3"/>
  <c r="GG22" i="3"/>
  <c r="GN7" i="3"/>
  <c r="GV33" i="3"/>
  <c r="GW16" i="3"/>
  <c r="HD17" i="3"/>
  <c r="HL30" i="3"/>
  <c r="HM15" i="3"/>
  <c r="IC23" i="3"/>
  <c r="IC6" i="3"/>
  <c r="HD6" i="3"/>
  <c r="FY6" i="3"/>
  <c r="EZ6" i="3"/>
  <c r="EC6" i="3"/>
  <c r="DM6" i="3"/>
  <c r="CW6" i="3"/>
  <c r="CG6" i="3"/>
  <c r="BQ6" i="3"/>
  <c r="BA6" i="3"/>
  <c r="FX6" i="3"/>
  <c r="DD6" i="3"/>
  <c r="BY6" i="3"/>
  <c r="AZ6" i="3"/>
  <c r="AR6" i="3"/>
  <c r="AB6" i="3"/>
  <c r="L6" i="3"/>
  <c r="HZ6" i="3"/>
  <c r="HQ6" i="3"/>
  <c r="HC6" i="3"/>
  <c r="GT6" i="3"/>
  <c r="GK6" i="3"/>
  <c r="FW6" i="3"/>
  <c r="FN6" i="3"/>
  <c r="FE6" i="3"/>
  <c r="EQ6" i="3"/>
  <c r="EH6" i="3"/>
  <c r="HU6" i="3"/>
  <c r="HE6" i="3"/>
  <c r="GW6" i="3"/>
  <c r="GG6" i="3"/>
  <c r="CN6" i="3"/>
  <c r="BH6" i="3"/>
  <c r="IA6" i="3"/>
  <c r="HJ6" i="3"/>
  <c r="GS6" i="3"/>
  <c r="EW6" i="3"/>
  <c r="EA6" i="3"/>
  <c r="GO6" i="3"/>
  <c r="FQ6" i="3"/>
  <c r="FI6" i="3"/>
  <c r="FA6" i="3"/>
  <c r="ES6" i="3"/>
  <c r="DT6" i="3"/>
  <c r="BI6" i="3"/>
  <c r="HR6" i="3"/>
  <c r="FP6" i="3"/>
  <c r="DU6" i="3"/>
  <c r="BX6" i="3"/>
  <c r="AK6" i="3"/>
  <c r="AC6" i="3"/>
  <c r="L27" i="3"/>
  <c r="EI6" i="3"/>
  <c r="DQ6" i="3"/>
  <c r="CU6" i="3"/>
  <c r="BU6" i="3"/>
  <c r="AY6" i="3"/>
  <c r="AH6" i="3"/>
  <c r="Q6" i="3"/>
  <c r="CV6" i="3"/>
  <c r="AS6" i="3"/>
  <c r="HS6" i="3"/>
  <c r="GU6" i="3"/>
  <c r="GC6" i="3"/>
  <c r="FF6" i="3"/>
  <c r="DY6" i="3"/>
  <c r="DC6" i="3"/>
  <c r="CL6" i="3"/>
  <c r="BG6" i="3"/>
  <c r="AP6" i="3"/>
  <c r="Y6" i="3"/>
  <c r="I18" i="3"/>
  <c r="I27" i="3"/>
  <c r="C6" i="3"/>
  <c r="HL6" i="3"/>
  <c r="CO6" i="3"/>
  <c r="L18" i="3"/>
  <c r="D6" i="3"/>
  <c r="HA6" i="3"/>
  <c r="GD6" i="3"/>
  <c r="FG6" i="3"/>
  <c r="EO6" i="3"/>
  <c r="DK6" i="3"/>
  <c r="CT6" i="3"/>
  <c r="IB6" i="3"/>
  <c r="EB6" i="3"/>
  <c r="U6" i="3"/>
  <c r="L11" i="3"/>
  <c r="L34" i="3"/>
  <c r="DI6" i="3"/>
  <c r="DB6" i="3"/>
  <c r="EJ6" i="3"/>
  <c r="AJ6" i="3"/>
  <c r="M6" i="3"/>
  <c r="GL6" i="3"/>
  <c r="FV6" i="3"/>
  <c r="FM6" i="3"/>
  <c r="DA6" i="3"/>
  <c r="CK6" i="3"/>
  <c r="CD6" i="3"/>
  <c r="AW6" i="3"/>
  <c r="R6" i="3"/>
  <c r="K19" i="3"/>
  <c r="J25" i="3"/>
  <c r="HT6" i="3"/>
  <c r="GF6" i="3"/>
  <c r="L19" i="3"/>
  <c r="E6" i="3"/>
  <c r="EX6" i="3"/>
  <c r="CS6" i="3"/>
  <c r="BM14" i="3"/>
  <c r="BU22" i="3"/>
  <c r="BU8" i="3"/>
  <c r="BV10" i="3"/>
  <c r="BW26" i="3"/>
  <c r="CD30" i="3"/>
  <c r="BQ18" i="3"/>
  <c r="HZ18" i="3"/>
  <c r="FW18" i="3"/>
  <c r="DI18" i="3"/>
  <c r="AQ18" i="3"/>
  <c r="HT18" i="3"/>
  <c r="FF18" i="3"/>
  <c r="DA11" i="3"/>
  <c r="CU18" i="3"/>
  <c r="FH18" i="3"/>
  <c r="EC18" i="3"/>
  <c r="HY18" i="3"/>
  <c r="HR18" i="3"/>
  <c r="DB18" i="3"/>
  <c r="CT18" i="3"/>
  <c r="CW18" i="3"/>
  <c r="FN18" i="3"/>
  <c r="AY18" i="3"/>
  <c r="AW18" i="3"/>
  <c r="IC18" i="3"/>
  <c r="FX18" i="3"/>
  <c r="CS18" i="3"/>
  <c r="G51" i="7"/>
  <c r="I23" i="3"/>
  <c r="J24" i="3"/>
  <c r="Q14" i="3"/>
  <c r="BV22" i="3"/>
  <c r="BW10" i="3"/>
  <c r="CD14" i="3"/>
  <c r="CM23" i="3"/>
  <c r="DA31" i="3"/>
  <c r="DC19" i="3"/>
  <c r="DQ30" i="3"/>
  <c r="DZ6" i="3"/>
  <c r="EI25" i="3"/>
  <c r="EP6" i="3"/>
  <c r="EX14" i="3"/>
  <c r="FG30" i="3"/>
  <c r="FO7" i="3"/>
  <c r="FW26" i="3"/>
  <c r="GS23" i="3"/>
  <c r="HA31" i="3"/>
  <c r="HB10" i="3"/>
  <c r="HY15" i="3"/>
  <c r="U26" i="3"/>
  <c r="BX26" i="3"/>
  <c r="DE23" i="3"/>
  <c r="HE8" i="3"/>
  <c r="FP8" i="3"/>
  <c r="ER8" i="3"/>
  <c r="EB8" i="3"/>
  <c r="DL8" i="3"/>
  <c r="CV8" i="3"/>
  <c r="CF8" i="3"/>
  <c r="BP8" i="3"/>
  <c r="AZ8" i="3"/>
  <c r="IB8" i="3"/>
  <c r="HU8" i="3"/>
  <c r="GV8" i="3"/>
  <c r="EJ8" i="3"/>
  <c r="DE8" i="3"/>
  <c r="AK8" i="3"/>
  <c r="U8" i="3"/>
  <c r="E8" i="3"/>
  <c r="HY8" i="3"/>
  <c r="HK8" i="3"/>
  <c r="HB8" i="3"/>
  <c r="GS8" i="3"/>
  <c r="GE8" i="3"/>
  <c r="FV8" i="3"/>
  <c r="FM8" i="3"/>
  <c r="EY8" i="3"/>
  <c r="EP8" i="3"/>
  <c r="EG8" i="3"/>
  <c r="IC8" i="3"/>
  <c r="EK8" i="3"/>
  <c r="AC8" i="3"/>
  <c r="D8" i="3"/>
  <c r="GK8" i="3"/>
  <c r="FO8" i="3"/>
  <c r="EX8" i="3"/>
  <c r="HM8" i="3"/>
  <c r="GW8" i="3"/>
  <c r="DM8" i="3"/>
  <c r="CG8" i="3"/>
  <c r="BA8" i="3"/>
  <c r="AR8" i="3"/>
  <c r="M8" i="3"/>
  <c r="HS8" i="3"/>
  <c r="FQ8" i="3"/>
  <c r="DD8" i="3"/>
  <c r="HJ8" i="3"/>
  <c r="GM8" i="3"/>
  <c r="FU8" i="3"/>
  <c r="DI8" i="3"/>
  <c r="CM8" i="3"/>
  <c r="BV8" i="3"/>
  <c r="BE8" i="3"/>
  <c r="AA19" i="3"/>
  <c r="Z8" i="3"/>
  <c r="I8" i="3"/>
  <c r="HD8" i="3"/>
  <c r="CW8" i="3"/>
  <c r="BY8" i="3"/>
  <c r="AB27" i="3"/>
  <c r="HQ8" i="3"/>
  <c r="FW8" i="3"/>
  <c r="FE8" i="3"/>
  <c r="EH8" i="3"/>
  <c r="DZ8" i="3"/>
  <c r="CU8" i="3"/>
  <c r="CD8" i="3"/>
  <c r="BM8" i="3"/>
  <c r="AQ8" i="3"/>
  <c r="AA11" i="3"/>
  <c r="Z18" i="3"/>
  <c r="Z27" i="3"/>
  <c r="Y34" i="3"/>
  <c r="Q8" i="3"/>
  <c r="FY8" i="3"/>
  <c r="FX8" i="3"/>
  <c r="DU8" i="3"/>
  <c r="DT8" i="3"/>
  <c r="EI8" i="3"/>
  <c r="BX8" i="3"/>
  <c r="AB17" i="3"/>
  <c r="HZ8" i="3"/>
  <c r="GT8" i="3"/>
  <c r="FF8" i="3"/>
  <c r="DQ8" i="3"/>
  <c r="GN8" i="3"/>
  <c r="GG8" i="3"/>
  <c r="EZ8" i="3"/>
  <c r="BI8" i="3"/>
  <c r="AB19" i="3"/>
  <c r="HI8" i="3"/>
  <c r="GU8" i="3"/>
  <c r="DJ8" i="3"/>
  <c r="ES8" i="3"/>
  <c r="CO8" i="3"/>
  <c r="FG8" i="3"/>
  <c r="EW8" i="3"/>
  <c r="DC8" i="3"/>
  <c r="BN8" i="3"/>
  <c r="AP8" i="3"/>
  <c r="AI8" i="3"/>
  <c r="AA27" i="3"/>
  <c r="Z11" i="3"/>
  <c r="Z34" i="3"/>
  <c r="Y18" i="3"/>
  <c r="B8" i="3"/>
  <c r="BQ8" i="3"/>
  <c r="HA8" i="3"/>
  <c r="DB8" i="3"/>
  <c r="A30" i="3"/>
  <c r="C32" i="3"/>
  <c r="A24" i="3"/>
  <c r="B14" i="3"/>
  <c r="I31" i="3"/>
  <c r="I16" i="3"/>
  <c r="J33" i="3"/>
  <c r="J18" i="3"/>
  <c r="J6" i="3"/>
  <c r="K8" i="3"/>
  <c r="Q22" i="3"/>
  <c r="Q10" i="3"/>
  <c r="R25" i="3"/>
  <c r="S15" i="3"/>
  <c r="Y30" i="3"/>
  <c r="Y16" i="3"/>
  <c r="Z32" i="3"/>
  <c r="Z19" i="3"/>
  <c r="AA34" i="3"/>
  <c r="AA22" i="3"/>
  <c r="AA7" i="3"/>
  <c r="AG24" i="3"/>
  <c r="AG8" i="3"/>
  <c r="AH23" i="3"/>
  <c r="AI26" i="3"/>
  <c r="AO16" i="3"/>
  <c r="AP30" i="3"/>
  <c r="AQ32" i="3"/>
  <c r="AW22" i="3"/>
  <c r="AW8" i="3"/>
  <c r="AX24" i="3"/>
  <c r="AX10" i="3"/>
  <c r="BE30" i="3"/>
  <c r="BE15" i="3"/>
  <c r="BG7" i="3"/>
  <c r="BM22" i="3"/>
  <c r="BN24" i="3"/>
  <c r="BU14" i="3"/>
  <c r="BV31" i="3"/>
  <c r="BV16" i="3"/>
  <c r="BW34" i="3"/>
  <c r="BW18" i="3"/>
  <c r="CC8" i="3"/>
  <c r="CD23" i="3"/>
  <c r="CD10" i="3"/>
  <c r="CE25" i="3"/>
  <c r="CK27" i="3"/>
  <c r="CK14" i="3"/>
  <c r="CL17" i="3"/>
  <c r="CM32" i="3"/>
  <c r="CM19" i="3"/>
  <c r="CT10" i="3"/>
  <c r="DA24" i="3"/>
  <c r="DC31" i="3"/>
  <c r="DJ32" i="3"/>
  <c r="DJ6" i="3"/>
  <c r="DK16" i="3"/>
  <c r="DR24" i="3"/>
  <c r="DS8" i="3"/>
  <c r="DZ22" i="3"/>
  <c r="EY33" i="3"/>
  <c r="EY6" i="3"/>
  <c r="FE10" i="3"/>
  <c r="FF14" i="3"/>
  <c r="FM18" i="3"/>
  <c r="FN26" i="3"/>
  <c r="FW15" i="3"/>
  <c r="GC23" i="3"/>
  <c r="GD23" i="3"/>
  <c r="GK31" i="3"/>
  <c r="GL8" i="3"/>
  <c r="GU19" i="3"/>
  <c r="HC27" i="3"/>
  <c r="HI6" i="3"/>
  <c r="HK7" i="3"/>
  <c r="HR34" i="3"/>
  <c r="HR8" i="3"/>
  <c r="HY6" i="3"/>
  <c r="IA31" i="3"/>
  <c r="E31" i="3"/>
  <c r="E7" i="3"/>
  <c r="L8" i="3"/>
  <c r="AB18" i="3"/>
  <c r="AC16" i="3"/>
  <c r="AK26" i="3"/>
  <c r="AS26" i="3"/>
  <c r="BA32" i="3"/>
  <c r="BH32" i="3"/>
  <c r="BP22" i="3"/>
  <c r="BQ16" i="3"/>
  <c r="BX16" i="3"/>
  <c r="CF6" i="3"/>
  <c r="CN33" i="3"/>
  <c r="CO22" i="3"/>
  <c r="CV22" i="3"/>
  <c r="CW16" i="3"/>
  <c r="DE6" i="3"/>
  <c r="DL6" i="3"/>
  <c r="DU31" i="3"/>
  <c r="EJ23" i="3"/>
  <c r="EK23" i="3"/>
  <c r="FP14" i="3"/>
  <c r="FX32" i="3"/>
  <c r="GF16" i="3"/>
  <c r="GN6" i="3"/>
  <c r="GV32" i="3"/>
  <c r="GW15" i="3"/>
  <c r="HE32" i="3"/>
  <c r="HT8" i="3"/>
  <c r="IB24" i="3"/>
  <c r="IC22" i="3"/>
  <c r="DE11" i="3"/>
  <c r="BY11" i="3"/>
  <c r="HM19" i="3"/>
  <c r="GW19" i="3"/>
  <c r="GO19" i="3"/>
  <c r="FY19" i="3"/>
  <c r="DL19" i="3"/>
  <c r="BA19" i="3"/>
  <c r="AS19" i="3"/>
  <c r="CO27" i="3"/>
  <c r="BI27" i="3"/>
  <c r="AC27" i="3"/>
  <c r="HU9" i="3"/>
  <c r="HE9" i="3"/>
  <c r="GO9" i="3"/>
  <c r="FY9" i="3"/>
  <c r="FI9" i="3"/>
  <c r="ES9" i="3"/>
  <c r="GF9" i="3"/>
  <c r="FA9" i="3"/>
  <c r="FP9" i="3"/>
  <c r="DU9" i="3"/>
  <c r="CF9" i="3"/>
  <c r="BA9" i="3"/>
  <c r="FH9" i="3"/>
  <c r="DE9" i="3"/>
  <c r="BY9" i="3"/>
  <c r="AZ9" i="3"/>
  <c r="AS9" i="3"/>
  <c r="T9" i="3"/>
  <c r="HK9" i="3"/>
  <c r="GT9" i="3"/>
  <c r="GC9" i="3"/>
  <c r="FG9" i="3"/>
  <c r="EG9" i="3"/>
  <c r="DZ9" i="3"/>
  <c r="DQ9" i="3"/>
  <c r="DC9" i="3"/>
  <c r="CT9" i="3"/>
  <c r="CK9" i="3"/>
  <c r="BW9" i="3"/>
  <c r="BN9" i="3"/>
  <c r="BE9" i="3"/>
  <c r="AQ9" i="3"/>
  <c r="AH9" i="3"/>
  <c r="Y9" i="3"/>
  <c r="K9" i="3"/>
  <c r="B9" i="3"/>
  <c r="IC9" i="3"/>
  <c r="ER9" i="3"/>
  <c r="EK9" i="3"/>
  <c r="DL9" i="3"/>
  <c r="AC9" i="3"/>
  <c r="D9" i="3"/>
  <c r="HU17" i="3"/>
  <c r="HE17" i="3"/>
  <c r="GO17" i="3"/>
  <c r="FY17" i="3"/>
  <c r="FI17" i="3"/>
  <c r="ES17" i="3"/>
  <c r="FP17" i="3"/>
  <c r="IC17" i="3"/>
  <c r="GW17" i="3"/>
  <c r="FQ17" i="3"/>
  <c r="EJ17" i="3"/>
  <c r="DE17" i="3"/>
  <c r="BP17" i="3"/>
  <c r="GG17" i="3"/>
  <c r="DM17" i="3"/>
  <c r="CG17" i="3"/>
  <c r="BA17" i="3"/>
  <c r="AC17" i="3"/>
  <c r="D17" i="3"/>
  <c r="HB17" i="3"/>
  <c r="GK17" i="3"/>
  <c r="FO17" i="3"/>
  <c r="EX17" i="3"/>
  <c r="DZ17" i="3"/>
  <c r="DQ17" i="3"/>
  <c r="DC17" i="3"/>
  <c r="CT17" i="3"/>
  <c r="CK17" i="3"/>
  <c r="BW17" i="3"/>
  <c r="BN17" i="3"/>
  <c r="BE17" i="3"/>
  <c r="AQ17" i="3"/>
  <c r="AH17" i="3"/>
  <c r="Y17" i="3"/>
  <c r="K17" i="3"/>
  <c r="B17" i="3"/>
  <c r="FA17" i="3"/>
  <c r="DT17" i="3"/>
  <c r="CN17" i="3"/>
  <c r="BH17" i="3"/>
  <c r="AR17" i="3"/>
  <c r="M17" i="3"/>
  <c r="HS17" i="3"/>
  <c r="HU25" i="3"/>
  <c r="HE25" i="3"/>
  <c r="GO25" i="3"/>
  <c r="FY25" i="3"/>
  <c r="FI25" i="3"/>
  <c r="HT25" i="3"/>
  <c r="EZ25" i="3"/>
  <c r="ES25" i="3"/>
  <c r="DT25" i="3"/>
  <c r="CO25" i="3"/>
  <c r="AZ25" i="3"/>
  <c r="IB25" i="3"/>
  <c r="HL25" i="3"/>
  <c r="BI25" i="3"/>
  <c r="AR25" i="3"/>
  <c r="M25" i="3"/>
  <c r="HS25" i="3"/>
  <c r="GS25" i="3"/>
  <c r="FW25" i="3"/>
  <c r="FF25" i="3"/>
  <c r="EO25" i="3"/>
  <c r="DZ25" i="3"/>
  <c r="DQ25" i="3"/>
  <c r="DC25" i="3"/>
  <c r="CT25" i="3"/>
  <c r="CK25" i="3"/>
  <c r="BW25" i="3"/>
  <c r="BN25" i="3"/>
  <c r="BE25" i="3"/>
  <c r="AQ25" i="3"/>
  <c r="AH25" i="3"/>
  <c r="Y25" i="3"/>
  <c r="K25" i="3"/>
  <c r="B25" i="3"/>
  <c r="HD25" i="3"/>
  <c r="GV25" i="3"/>
  <c r="GN25" i="3"/>
  <c r="GF25" i="3"/>
  <c r="EB25" i="3"/>
  <c r="DU25" i="3"/>
  <c r="CV25" i="3"/>
  <c r="BP25" i="3"/>
  <c r="AB25" i="3"/>
  <c r="IA25" i="3"/>
  <c r="HU33" i="3"/>
  <c r="HE33" i="3"/>
  <c r="GO33" i="3"/>
  <c r="FY33" i="3"/>
  <c r="FI33" i="3"/>
  <c r="IC33" i="3"/>
  <c r="HD33" i="3"/>
  <c r="HM33" i="3"/>
  <c r="GG33" i="3"/>
  <c r="FA33" i="3"/>
  <c r="EC33" i="3"/>
  <c r="DD33" i="3"/>
  <c r="BY33" i="3"/>
  <c r="EZ33" i="3"/>
  <c r="CW33" i="3"/>
  <c r="BQ33" i="3"/>
  <c r="AB33" i="3"/>
  <c r="IA33" i="3"/>
  <c r="HJ33" i="3"/>
  <c r="GE33" i="3"/>
  <c r="FN33" i="3"/>
  <c r="EW33" i="3"/>
  <c r="DZ33" i="3"/>
  <c r="DQ33" i="3"/>
  <c r="DC33" i="3"/>
  <c r="CT33" i="3"/>
  <c r="CK33" i="3"/>
  <c r="BW33" i="3"/>
  <c r="BN33" i="3"/>
  <c r="BE33" i="3"/>
  <c r="AQ33" i="3"/>
  <c r="AH33" i="3"/>
  <c r="Y33" i="3"/>
  <c r="K33" i="3"/>
  <c r="B33" i="3"/>
  <c r="BX33" i="3"/>
  <c r="AK33" i="3"/>
  <c r="L33" i="3"/>
  <c r="HS27" i="3"/>
  <c r="HR33" i="3"/>
  <c r="C25" i="3"/>
  <c r="I9" i="3"/>
  <c r="Q17" i="3"/>
  <c r="Z9" i="3"/>
  <c r="AH26" i="3"/>
  <c r="AI19" i="3"/>
  <c r="AI10" i="3"/>
  <c r="AP33" i="3"/>
  <c r="AQ27" i="3"/>
  <c r="AW11" i="3"/>
  <c r="AY25" i="3"/>
  <c r="BG33" i="3"/>
  <c r="BM17" i="3"/>
  <c r="BU25" i="3"/>
  <c r="BV9" i="3"/>
  <c r="CC33" i="3"/>
  <c r="CD17" i="3"/>
  <c r="CL25" i="3"/>
  <c r="CM9" i="3"/>
  <c r="CU26" i="3"/>
  <c r="CU17" i="3"/>
  <c r="DA19" i="3"/>
  <c r="DI27" i="3"/>
  <c r="DI9" i="3"/>
  <c r="DJ11" i="3"/>
  <c r="DY33" i="3"/>
  <c r="EI17" i="3"/>
  <c r="EP25" i="3"/>
  <c r="EY9" i="3"/>
  <c r="FE18" i="3"/>
  <c r="FF27" i="3"/>
  <c r="FF17" i="3"/>
  <c r="FG25" i="3"/>
  <c r="FM25" i="3"/>
  <c r="FO11" i="3"/>
  <c r="FU9" i="3"/>
  <c r="FV19" i="3"/>
  <c r="FV9" i="3"/>
  <c r="GD25" i="3"/>
  <c r="GE25" i="3"/>
  <c r="GK33" i="3"/>
  <c r="GM9" i="3"/>
  <c r="GS9" i="3"/>
  <c r="GT17" i="3"/>
  <c r="HA25" i="3"/>
  <c r="HC33" i="3"/>
  <c r="HJ9" i="3"/>
  <c r="HQ33" i="3"/>
  <c r="HQ19" i="3"/>
  <c r="HR26" i="3"/>
  <c r="HY25" i="3"/>
  <c r="IA11" i="3"/>
  <c r="L17" i="3"/>
  <c r="M33" i="3"/>
  <c r="U9" i="3"/>
  <c r="AJ25" i="3"/>
  <c r="AK19" i="3"/>
  <c r="AS17" i="3"/>
  <c r="BA11" i="3"/>
  <c r="BH25" i="3"/>
  <c r="CF25" i="3"/>
  <c r="CO19" i="3"/>
  <c r="CV33" i="3"/>
  <c r="DD25" i="3"/>
  <c r="DD9" i="3"/>
  <c r="DE25" i="3"/>
  <c r="DL27" i="3"/>
  <c r="DU33" i="3"/>
  <c r="EB9" i="3"/>
  <c r="ER33" i="3"/>
  <c r="ER17" i="3"/>
  <c r="ES33" i="3"/>
  <c r="FI27" i="3"/>
  <c r="FP27" i="3"/>
  <c r="FQ9" i="3"/>
  <c r="GF33" i="3"/>
  <c r="GW25" i="3"/>
  <c r="HM17" i="3"/>
  <c r="HT17" i="3"/>
  <c r="IB11" i="3"/>
  <c r="IC11" i="3"/>
  <c r="HU10" i="3"/>
  <c r="GV10" i="3"/>
  <c r="FQ10" i="3"/>
  <c r="EK10" i="3"/>
  <c r="DU10" i="3"/>
  <c r="DE10" i="3"/>
  <c r="CO10" i="3"/>
  <c r="BY10" i="3"/>
  <c r="BI10" i="3"/>
  <c r="HT10" i="3"/>
  <c r="GO10" i="3"/>
  <c r="GN10" i="3"/>
  <c r="FI10" i="3"/>
  <c r="FH10" i="3"/>
  <c r="CV10" i="3"/>
  <c r="BQ10" i="3"/>
  <c r="AJ10" i="3"/>
  <c r="T10" i="3"/>
  <c r="D10" i="3"/>
  <c r="HS10" i="3"/>
  <c r="HJ10" i="3"/>
  <c r="HA10" i="3"/>
  <c r="GM10" i="3"/>
  <c r="GD10" i="3"/>
  <c r="FU10" i="3"/>
  <c r="FG10" i="3"/>
  <c r="EX10" i="3"/>
  <c r="EO10" i="3"/>
  <c r="EA10" i="3"/>
  <c r="FX10" i="3"/>
  <c r="EZ10" i="3"/>
  <c r="EJ10" i="3"/>
  <c r="DD10" i="3"/>
  <c r="BX10" i="3"/>
  <c r="HY10" i="3"/>
  <c r="HC10" i="3"/>
  <c r="GL10" i="3"/>
  <c r="EP10" i="3"/>
  <c r="CF10" i="3"/>
  <c r="AZ10" i="3"/>
  <c r="AS10" i="3"/>
  <c r="HK10" i="3"/>
  <c r="HE18" i="3"/>
  <c r="GF18" i="3"/>
  <c r="FA18" i="3"/>
  <c r="EK18" i="3"/>
  <c r="DU18" i="3"/>
  <c r="DE18" i="3"/>
  <c r="CO18" i="3"/>
  <c r="BY18" i="3"/>
  <c r="BI18" i="3"/>
  <c r="IB18" i="3"/>
  <c r="GV18" i="3"/>
  <c r="CF18" i="3"/>
  <c r="BA18" i="3"/>
  <c r="AJ18" i="3"/>
  <c r="T18" i="3"/>
  <c r="D18" i="3"/>
  <c r="HS18" i="3"/>
  <c r="HJ18" i="3"/>
  <c r="HA18" i="3"/>
  <c r="GM18" i="3"/>
  <c r="GD18" i="3"/>
  <c r="FU18" i="3"/>
  <c r="FG18" i="3"/>
  <c r="EX18" i="3"/>
  <c r="EO18" i="3"/>
  <c r="HU18" i="3"/>
  <c r="HM18" i="3"/>
  <c r="GW18" i="3"/>
  <c r="GO18" i="3"/>
  <c r="FY18" i="3"/>
  <c r="ER18" i="3"/>
  <c r="DL18" i="3"/>
  <c r="AS18" i="3"/>
  <c r="HK18" i="3"/>
  <c r="GT18" i="3"/>
  <c r="GC18" i="3"/>
  <c r="EG18" i="3"/>
  <c r="GG18" i="3"/>
  <c r="FQ18" i="3"/>
  <c r="FI18" i="3"/>
  <c r="ES18" i="3"/>
  <c r="DM18" i="3"/>
  <c r="DD11" i="3"/>
  <c r="CG18" i="3"/>
  <c r="AC18" i="3"/>
  <c r="GO26" i="3"/>
  <c r="FP26" i="3"/>
  <c r="EK26" i="3"/>
  <c r="DU26" i="3"/>
  <c r="DE26" i="3"/>
  <c r="CO26" i="3"/>
  <c r="BY26" i="3"/>
  <c r="BI26" i="3"/>
  <c r="HD26" i="3"/>
  <c r="FY26" i="3"/>
  <c r="FX26" i="3"/>
  <c r="EJ26" i="3"/>
  <c r="BP26" i="3"/>
  <c r="AJ26" i="3"/>
  <c r="T26" i="3"/>
  <c r="D26" i="3"/>
  <c r="HS26" i="3"/>
  <c r="HJ26" i="3"/>
  <c r="HA26" i="3"/>
  <c r="GM26" i="3"/>
  <c r="GD26" i="3"/>
  <c r="FU26" i="3"/>
  <c r="FG26" i="3"/>
  <c r="EX26" i="3"/>
  <c r="EO26" i="3"/>
  <c r="DT26" i="3"/>
  <c r="CN26" i="3"/>
  <c r="BH26" i="3"/>
  <c r="AC26" i="3"/>
  <c r="HB26" i="3"/>
  <c r="GK26" i="3"/>
  <c r="FO26" i="3"/>
  <c r="IB26" i="3"/>
  <c r="HT26" i="3"/>
  <c r="HL26" i="3"/>
  <c r="AR26" i="3"/>
  <c r="M26" i="3"/>
  <c r="HT34" i="3"/>
  <c r="FY34" i="3"/>
  <c r="EZ34" i="3"/>
  <c r="EK34" i="3"/>
  <c r="DU34" i="3"/>
  <c r="DE34" i="3"/>
  <c r="CO34" i="3"/>
  <c r="BY34" i="3"/>
  <c r="BI34" i="3"/>
  <c r="HL34" i="3"/>
  <c r="GF34" i="3"/>
  <c r="ES34" i="3"/>
  <c r="DT34" i="3"/>
  <c r="AZ34" i="3"/>
  <c r="AJ34" i="3"/>
  <c r="T34" i="3"/>
  <c r="D34" i="3"/>
  <c r="HS34" i="3"/>
  <c r="HJ34" i="3"/>
  <c r="HA34" i="3"/>
  <c r="GM34" i="3"/>
  <c r="GD34" i="3"/>
  <c r="FU34" i="3"/>
  <c r="FG34" i="3"/>
  <c r="EX34" i="3"/>
  <c r="EO34" i="3"/>
  <c r="FX34" i="3"/>
  <c r="FP34" i="3"/>
  <c r="FH34" i="3"/>
  <c r="EB34" i="3"/>
  <c r="CV34" i="3"/>
  <c r="BP34" i="3"/>
  <c r="AR34" i="3"/>
  <c r="M34" i="3"/>
  <c r="GS34" i="3"/>
  <c r="FW34" i="3"/>
  <c r="FF34" i="3"/>
  <c r="EC34" i="3"/>
  <c r="CW34" i="3"/>
  <c r="BQ34" i="3"/>
  <c r="AB34" i="3"/>
  <c r="IA34" i="3"/>
  <c r="HY11" i="3"/>
  <c r="A18" i="3"/>
  <c r="A9" i="3"/>
  <c r="C33" i="3"/>
  <c r="I26" i="3"/>
  <c r="I17" i="3"/>
  <c r="J10" i="3"/>
  <c r="Q34" i="3"/>
  <c r="Q25" i="3"/>
  <c r="R18" i="3"/>
  <c r="R9" i="3"/>
  <c r="Z26" i="3"/>
  <c r="Z17" i="3"/>
  <c r="AA10" i="3"/>
  <c r="AH34" i="3"/>
  <c r="AI27" i="3"/>
  <c r="AI18" i="3"/>
  <c r="AI9" i="3"/>
  <c r="AO11" i="3"/>
  <c r="AQ26" i="3"/>
  <c r="AW19" i="3"/>
  <c r="AW10" i="3"/>
  <c r="AY33" i="3"/>
  <c r="BE18" i="3"/>
  <c r="BM34" i="3"/>
  <c r="BM25" i="3"/>
  <c r="BN10" i="3"/>
  <c r="BU33" i="3"/>
  <c r="BV26" i="3"/>
  <c r="BV17" i="3"/>
  <c r="CD34" i="3"/>
  <c r="CD25" i="3"/>
  <c r="CE18" i="3"/>
  <c r="CE9" i="3"/>
  <c r="CL33" i="3"/>
  <c r="CM26" i="3"/>
  <c r="CM17" i="3"/>
  <c r="CS10" i="3"/>
  <c r="CU34" i="3"/>
  <c r="CU25" i="3"/>
  <c r="DA27" i="3"/>
  <c r="DA18" i="3"/>
  <c r="DA9" i="3"/>
  <c r="DI26" i="3"/>
  <c r="DI17" i="3"/>
  <c r="DJ19" i="3"/>
  <c r="DJ10" i="3"/>
  <c r="DQ34" i="3"/>
  <c r="DR18" i="3"/>
  <c r="DR9" i="3"/>
  <c r="DZ26" i="3"/>
  <c r="EA9" i="3"/>
  <c r="EH17" i="3"/>
  <c r="EI26" i="3"/>
  <c r="EP34" i="3"/>
  <c r="EQ33" i="3"/>
  <c r="EW10" i="3"/>
  <c r="EX9" i="3"/>
  <c r="EY18" i="3"/>
  <c r="FE27" i="3"/>
  <c r="FE17" i="3"/>
  <c r="FF26" i="3"/>
  <c r="FM34" i="3"/>
  <c r="FN11" i="3"/>
  <c r="FO10" i="3"/>
  <c r="FU19" i="3"/>
  <c r="FV18" i="3"/>
  <c r="FW27" i="3"/>
  <c r="FW17" i="3"/>
  <c r="GC25" i="3"/>
  <c r="GE34" i="3"/>
  <c r="GL9" i="3"/>
  <c r="GS18" i="3"/>
  <c r="GT26" i="3"/>
  <c r="GU25" i="3"/>
  <c r="HB33" i="3"/>
  <c r="HI9" i="3"/>
  <c r="HK25" i="3"/>
  <c r="HQ18" i="3"/>
  <c r="HR25" i="3"/>
  <c r="HR11" i="3"/>
  <c r="HS19" i="3"/>
  <c r="HZ17" i="3"/>
  <c r="IA10" i="3"/>
  <c r="E34" i="3"/>
  <c r="E9" i="3"/>
  <c r="M9" i="3"/>
  <c r="T25" i="3"/>
  <c r="U33" i="3"/>
  <c r="U19" i="3"/>
  <c r="AB26" i="3"/>
  <c r="AC19" i="3"/>
  <c r="AK18" i="3"/>
  <c r="AR11" i="3"/>
  <c r="BA10" i="3"/>
  <c r="BH10" i="3"/>
  <c r="BQ17" i="3"/>
  <c r="BX34" i="3"/>
  <c r="BX18" i="3"/>
  <c r="CG25" i="3"/>
  <c r="CO17" i="3"/>
  <c r="CV18" i="3"/>
  <c r="CW19" i="3"/>
  <c r="DL26" i="3"/>
  <c r="DT18" i="3"/>
  <c r="EC25" i="3"/>
  <c r="EC9" i="3"/>
  <c r="EJ25" i="3"/>
  <c r="EK27" i="3"/>
  <c r="ES19" i="3"/>
  <c r="EZ17" i="3"/>
  <c r="FI26" i="3"/>
  <c r="FI11" i="3"/>
  <c r="FP25" i="3"/>
  <c r="GF17" i="3"/>
  <c r="GO27" i="3"/>
  <c r="GV26" i="3"/>
  <c r="GV9" i="3"/>
  <c r="GW9" i="3"/>
  <c r="HL33" i="3"/>
  <c r="HL18" i="3"/>
  <c r="HM34" i="3"/>
  <c r="HU27" i="3"/>
  <c r="IB27" i="3"/>
  <c r="IB10" i="3"/>
  <c r="IC25" i="3"/>
  <c r="IC10" i="3"/>
  <c r="HT11" i="3"/>
  <c r="HD11" i="3"/>
  <c r="GN11" i="3"/>
  <c r="FX11" i="3"/>
  <c r="FH11" i="3"/>
  <c r="HL11" i="3"/>
  <c r="GG11" i="3"/>
  <c r="HM11" i="3"/>
  <c r="EK11" i="3"/>
  <c r="DL11" i="3"/>
  <c r="CG11" i="3"/>
  <c r="BH11" i="3"/>
  <c r="HT19" i="3"/>
  <c r="HD19" i="3"/>
  <c r="GN19" i="3"/>
  <c r="FX19" i="3"/>
  <c r="FH19" i="3"/>
  <c r="HU19" i="3"/>
  <c r="GV19" i="3"/>
  <c r="FQ19" i="3"/>
  <c r="FP19" i="3"/>
  <c r="DU19" i="3"/>
  <c r="CV19" i="3"/>
  <c r="BQ19" i="3"/>
  <c r="HT27" i="3"/>
  <c r="HD27" i="3"/>
  <c r="GN27" i="3"/>
  <c r="FX27" i="3"/>
  <c r="FH27" i="3"/>
  <c r="HE27" i="3"/>
  <c r="GF27" i="3"/>
  <c r="FA27" i="3"/>
  <c r="IC27" i="3"/>
  <c r="GW27" i="3"/>
  <c r="FQ27" i="3"/>
  <c r="DE27" i="3"/>
  <c r="CF27" i="3"/>
  <c r="BA27" i="3"/>
  <c r="A27" i="3"/>
  <c r="A19" i="3"/>
  <c r="A11" i="3"/>
  <c r="J27" i="3"/>
  <c r="J19" i="3"/>
  <c r="J11" i="3"/>
  <c r="S27" i="3"/>
  <c r="S19" i="3"/>
  <c r="S11" i="3"/>
  <c r="AG27" i="3"/>
  <c r="AG19" i="3"/>
  <c r="AG11" i="3"/>
  <c r="AP27" i="3"/>
  <c r="AP19" i="3"/>
  <c r="AP11" i="3"/>
  <c r="AY27" i="3"/>
  <c r="AY19" i="3"/>
  <c r="AY11" i="3"/>
  <c r="BM27" i="3"/>
  <c r="BM19" i="3"/>
  <c r="BM11" i="3"/>
  <c r="BV27" i="3"/>
  <c r="BV19" i="3"/>
  <c r="BV11" i="3"/>
  <c r="CE27" i="3"/>
  <c r="CE19" i="3"/>
  <c r="CE11" i="3"/>
  <c r="CS27" i="3"/>
  <c r="CS19" i="3"/>
  <c r="CS11" i="3"/>
  <c r="DB27" i="3"/>
  <c r="DB19" i="3"/>
  <c r="DB11" i="3"/>
  <c r="DK27" i="3"/>
  <c r="DK19" i="3"/>
  <c r="DK11" i="3"/>
  <c r="DY27" i="3"/>
  <c r="DY19" i="3"/>
  <c r="DY11" i="3"/>
  <c r="EG27" i="3"/>
  <c r="EH11" i="3"/>
  <c r="EP19" i="3"/>
  <c r="EX27" i="3"/>
  <c r="EY11" i="3"/>
  <c r="FG19" i="3"/>
  <c r="FU11" i="3"/>
  <c r="GC27" i="3"/>
  <c r="GL19" i="3"/>
  <c r="GT27" i="3"/>
  <c r="GU11" i="3"/>
  <c r="HC19" i="3"/>
  <c r="HK27" i="3"/>
  <c r="HQ11" i="3"/>
  <c r="HY19" i="3"/>
  <c r="D27" i="3"/>
  <c r="E11" i="3"/>
  <c r="T19" i="3"/>
  <c r="AJ11" i="3"/>
  <c r="AS27" i="3"/>
  <c r="AZ19" i="3"/>
  <c r="CF19" i="3"/>
  <c r="CG27" i="3"/>
  <c r="CW11" i="3"/>
  <c r="DM27" i="3"/>
  <c r="EC11" i="3"/>
  <c r="EK19" i="3"/>
  <c r="ES27" i="3"/>
  <c r="FP11" i="3"/>
  <c r="GF11" i="3"/>
  <c r="HE19" i="3"/>
  <c r="IC19" i="3"/>
  <c r="H44" i="7"/>
  <c r="F168" i="7"/>
  <c r="B168" i="7"/>
  <c r="F19" i="3"/>
  <c r="F5" i="3"/>
  <c r="CH7" i="3"/>
  <c r="BB7" i="3"/>
  <c r="BR27" i="3"/>
  <c r="B56" i="7"/>
  <c r="V21" i="3"/>
  <c r="CH26" i="3"/>
  <c r="HF15" i="3"/>
  <c r="CH23" i="3"/>
  <c r="HN23" i="3"/>
  <c r="AD10" i="3"/>
  <c r="DF32" i="3"/>
  <c r="F34" i="3"/>
  <c r="AT16" i="3"/>
  <c r="CH15" i="3"/>
  <c r="ET15" i="3"/>
  <c r="F28" i="3"/>
  <c r="BB11" i="3"/>
  <c r="ET31" i="3"/>
  <c r="FJ31" i="3"/>
  <c r="F22" i="3"/>
  <c r="V15" i="3"/>
  <c r="CH31" i="3"/>
  <c r="GH28" i="3"/>
  <c r="BJ23" i="3"/>
  <c r="ET7" i="3"/>
  <c r="CP33" i="3"/>
  <c r="FR9" i="3"/>
  <c r="FR6" i="3"/>
  <c r="BJ6" i="3"/>
  <c r="CH6" i="3"/>
  <c r="F6" i="3"/>
  <c r="N17" i="3"/>
  <c r="BR6" i="3"/>
  <c r="AL6" i="3"/>
  <c r="GP14" i="3"/>
  <c r="HV14" i="3"/>
  <c r="AL14" i="3"/>
  <c r="AD14" i="3"/>
  <c r="BZ14" i="3"/>
  <c r="GX30" i="3"/>
  <c r="BR30" i="3"/>
  <c r="AL30" i="3"/>
  <c r="GX26" i="3"/>
  <c r="BR9" i="3"/>
  <c r="F17" i="3"/>
  <c r="BJ14" i="3"/>
  <c r="BZ30" i="3"/>
  <c r="CX30" i="3"/>
  <c r="I182" i="7"/>
  <c r="B182" i="7"/>
  <c r="ED11" i="3"/>
  <c r="EL11" i="3"/>
  <c r="DN33" i="3"/>
  <c r="CX19" i="3"/>
  <c r="V19" i="3"/>
  <c r="BJ27" i="3"/>
  <c r="N27" i="3"/>
  <c r="DN27" i="3"/>
  <c r="BB27" i="3"/>
  <c r="CX27" i="3"/>
  <c r="CP27" i="3"/>
  <c r="AD6" i="3"/>
  <c r="AT24" i="3"/>
  <c r="HV19" i="3"/>
  <c r="ET12" i="3"/>
  <c r="BJ12" i="3"/>
  <c r="F12" i="3"/>
  <c r="V12" i="3"/>
  <c r="BJ9" i="3"/>
  <c r="GH20" i="3"/>
  <c r="FZ20" i="3"/>
  <c r="AL20" i="3"/>
  <c r="F20" i="3"/>
  <c r="DV9" i="3"/>
  <c r="DN20" i="3"/>
  <c r="ED20" i="3"/>
  <c r="CH20" i="3"/>
  <c r="BJ20" i="3"/>
  <c r="BR28" i="3"/>
  <c r="AT28" i="3"/>
  <c r="CH28" i="3"/>
  <c r="BJ28" i="3"/>
  <c r="F11" i="3"/>
  <c r="V27" i="3"/>
  <c r="AL33" i="3"/>
  <c r="BZ28" i="3"/>
  <c r="EL6" i="3"/>
  <c r="GH12" i="3"/>
  <c r="CX22" i="3"/>
  <c r="N21" i="3"/>
  <c r="N7" i="3"/>
  <c r="V9" i="3"/>
  <c r="AL27" i="3"/>
  <c r="N33" i="3"/>
  <c r="V33" i="3"/>
  <c r="EL29" i="3"/>
  <c r="HF25" i="3"/>
  <c r="BB33" i="3"/>
  <c r="N6" i="3"/>
  <c r="CH22" i="3"/>
  <c r="CH5" i="3"/>
  <c r="V5" i="3"/>
  <c r="F25" i="3"/>
  <c r="FJ5" i="3"/>
  <c r="BB5" i="3"/>
  <c r="F9" i="3"/>
  <c r="F26" i="3"/>
  <c r="ET13" i="3"/>
  <c r="BB13" i="3"/>
  <c r="V13" i="3"/>
  <c r="EL13" i="3"/>
  <c r="F13" i="3"/>
  <c r="CX13" i="3"/>
  <c r="BJ21" i="3"/>
  <c r="CX21" i="3"/>
  <c r="FJ21" i="3"/>
  <c r="BB29" i="3"/>
  <c r="N29" i="3"/>
  <c r="BR29" i="3"/>
  <c r="CH25" i="3"/>
  <c r="ET33" i="3"/>
  <c r="FZ24" i="3"/>
  <c r="F7" i="3"/>
  <c r="HF23" i="3"/>
  <c r="FB23" i="3"/>
  <c r="EL23" i="3"/>
  <c r="V23" i="3"/>
  <c r="DV31" i="3"/>
  <c r="BB31" i="3"/>
  <c r="BZ31" i="3"/>
  <c r="V25" i="3"/>
  <c r="DV7" i="3"/>
  <c r="CX8" i="3"/>
  <c r="V31" i="3"/>
  <c r="V7" i="3"/>
  <c r="HF7" i="3"/>
  <c r="DN7" i="3"/>
  <c r="AT9" i="3"/>
  <c r="FJ9" i="3"/>
  <c r="ED9" i="3"/>
  <c r="FR25" i="3"/>
  <c r="FJ25" i="3"/>
  <c r="BJ25" i="3"/>
  <c r="BZ25" i="3"/>
  <c r="HV21" i="3"/>
  <c r="N23" i="3"/>
  <c r="N15" i="3"/>
  <c r="N9" i="3"/>
  <c r="AD23" i="3"/>
  <c r="AT10" i="3"/>
  <c r="GP9" i="3"/>
  <c r="GP10" i="3"/>
  <c r="GP18" i="3"/>
  <c r="GH24" i="3"/>
  <c r="DN24" i="3"/>
  <c r="A62" i="7"/>
  <c r="A117" i="7"/>
  <c r="FR16" i="3"/>
  <c r="FB16" i="3"/>
  <c r="EL16" i="3"/>
  <c r="DV16" i="3"/>
  <c r="DF16" i="3"/>
  <c r="HF16" i="3"/>
  <c r="FJ16" i="3"/>
  <c r="DN16" i="3"/>
  <c r="CH16" i="3"/>
  <c r="BJ16" i="3"/>
  <c r="ET16" i="3"/>
  <c r="CP31" i="3"/>
  <c r="AL16" i="3"/>
  <c r="N16" i="3"/>
  <c r="CP16" i="3"/>
  <c r="CP22" i="3"/>
  <c r="ED16" i="3"/>
  <c r="CP30" i="3"/>
  <c r="BR16" i="3"/>
  <c r="BB16" i="3"/>
  <c r="FZ16" i="3"/>
  <c r="CP6" i="3"/>
  <c r="F16" i="3"/>
  <c r="HV16" i="3"/>
  <c r="GP16" i="3"/>
  <c r="CP7" i="3"/>
  <c r="CP23" i="3"/>
  <c r="BZ16" i="3"/>
  <c r="V16" i="3"/>
  <c r="CP15" i="3"/>
  <c r="CP21" i="3"/>
  <c r="GX16" i="3"/>
  <c r="CX16" i="3"/>
  <c r="AD22" i="3"/>
  <c r="AD13" i="3"/>
  <c r="CP32" i="3"/>
  <c r="HN18" i="3"/>
  <c r="V24" i="3"/>
  <c r="AL26" i="3"/>
  <c r="AT12" i="3"/>
  <c r="BJ18" i="3"/>
  <c r="DF6" i="3"/>
  <c r="HN29" i="3"/>
  <c r="HN16" i="3"/>
  <c r="ID16" i="3"/>
  <c r="ID18" i="3"/>
  <c r="FJ18" i="3"/>
  <c r="ET18" i="3"/>
  <c r="ED18" i="3"/>
  <c r="DN18" i="3"/>
  <c r="HF18" i="3"/>
  <c r="FB18" i="3"/>
  <c r="DV18" i="3"/>
  <c r="BZ18" i="3"/>
  <c r="BB18" i="3"/>
  <c r="DF7" i="3"/>
  <c r="AD18" i="3"/>
  <c r="F18" i="3"/>
  <c r="CH18" i="3"/>
  <c r="HV18" i="3"/>
  <c r="GX18" i="3"/>
  <c r="FR18" i="3"/>
  <c r="DF22" i="3"/>
  <c r="GH18" i="3"/>
  <c r="EL18" i="3"/>
  <c r="BR18" i="3"/>
  <c r="N18" i="3"/>
  <c r="CP18" i="3"/>
  <c r="V18" i="3"/>
  <c r="FZ18" i="3"/>
  <c r="DF18" i="3"/>
  <c r="DF23" i="3"/>
  <c r="DF31" i="3"/>
  <c r="HV26" i="3"/>
  <c r="FJ26" i="3"/>
  <c r="ET26" i="3"/>
  <c r="ED26" i="3"/>
  <c r="DN26" i="3"/>
  <c r="HN26" i="3"/>
  <c r="HF26" i="3"/>
  <c r="DV26" i="3"/>
  <c r="ID26" i="3"/>
  <c r="FR31" i="3"/>
  <c r="AT26" i="3"/>
  <c r="V26" i="3"/>
  <c r="EL26" i="3"/>
  <c r="CX26" i="3"/>
  <c r="FR7" i="3"/>
  <c r="FR26" i="3"/>
  <c r="BZ26" i="3"/>
  <c r="FR30" i="3"/>
  <c r="FR22" i="3"/>
  <c r="BJ26" i="3"/>
  <c r="BR26" i="3"/>
  <c r="N26" i="3"/>
  <c r="GH26" i="3"/>
  <c r="FZ26" i="3"/>
  <c r="FR15" i="3"/>
  <c r="FR23" i="3"/>
  <c r="AD26" i="3"/>
  <c r="FB26" i="3"/>
  <c r="BB26" i="3"/>
  <c r="GP26" i="3"/>
  <c r="DF26" i="3"/>
  <c r="CP26" i="3"/>
  <c r="AD29" i="3"/>
  <c r="BB34" i="3"/>
  <c r="N11" i="3"/>
  <c r="AD16" i="3"/>
  <c r="AT34" i="3"/>
  <c r="AT22" i="3"/>
  <c r="AT18" i="3"/>
  <c r="BB20" i="3"/>
  <c r="BB14" i="3"/>
  <c r="CX18" i="3"/>
  <c r="DN8" i="3"/>
  <c r="EL10" i="3"/>
  <c r="FB17" i="3"/>
  <c r="A6" i="7"/>
  <c r="B6" i="7" s="1"/>
  <c r="FZ8" i="3"/>
  <c r="FR8" i="3"/>
  <c r="FB8" i="3"/>
  <c r="EL8" i="3"/>
  <c r="DV8" i="3"/>
  <c r="DF8" i="3"/>
  <c r="HN8" i="3"/>
  <c r="HF8" i="3"/>
  <c r="ED8" i="3"/>
  <c r="CP8" i="3"/>
  <c r="GX8" i="3"/>
  <c r="FJ8" i="3"/>
  <c r="BR8" i="3"/>
  <c r="AT8" i="3"/>
  <c r="AD15" i="3"/>
  <c r="ID8" i="3"/>
  <c r="BB8" i="3"/>
  <c r="GH8" i="3"/>
  <c r="CH8" i="3"/>
  <c r="AD7" i="3"/>
  <c r="F8" i="3"/>
  <c r="ET8" i="3"/>
  <c r="N8" i="3"/>
  <c r="BZ8" i="3"/>
  <c r="BJ8" i="3"/>
  <c r="V8" i="3"/>
  <c r="GP8" i="3"/>
  <c r="AD5" i="3"/>
  <c r="AD31" i="3"/>
  <c r="ID24" i="3"/>
  <c r="HF24" i="3"/>
  <c r="FR24" i="3"/>
  <c r="FB24" i="3"/>
  <c r="EL24" i="3"/>
  <c r="DV24" i="3"/>
  <c r="HN24" i="3"/>
  <c r="GX24" i="3"/>
  <c r="ED24" i="3"/>
  <c r="BB24" i="3"/>
  <c r="AD24" i="3"/>
  <c r="DF24" i="3"/>
  <c r="F24" i="3"/>
  <c r="FJ24" i="3"/>
  <c r="CH24" i="3"/>
  <c r="FB22" i="3"/>
  <c r="ET24" i="3"/>
  <c r="BJ24" i="3"/>
  <c r="N24" i="3"/>
  <c r="GP24" i="3"/>
  <c r="FB29" i="3"/>
  <c r="BR24" i="3"/>
  <c r="FB7" i="3"/>
  <c r="FB14" i="3"/>
  <c r="FB31" i="3"/>
  <c r="CP24" i="3"/>
  <c r="BZ24" i="3"/>
  <c r="HF32" i="3"/>
  <c r="GH32" i="3"/>
  <c r="FR32" i="3"/>
  <c r="FB32" i="3"/>
  <c r="EL32" i="3"/>
  <c r="DV32" i="3"/>
  <c r="HN32" i="3"/>
  <c r="V32" i="3"/>
  <c r="CX32" i="3"/>
  <c r="BZ32" i="3"/>
  <c r="DN32" i="3"/>
  <c r="BJ32" i="3"/>
  <c r="GX32" i="3"/>
  <c r="FJ32" i="3"/>
  <c r="N32" i="3"/>
  <c r="HN15" i="3"/>
  <c r="HN31" i="3"/>
  <c r="ET32" i="3"/>
  <c r="AD32" i="3"/>
  <c r="GP32" i="3"/>
  <c r="ED32" i="3"/>
  <c r="CH32" i="3"/>
  <c r="FZ32" i="3"/>
  <c r="BR32" i="3"/>
  <c r="BB32" i="3"/>
  <c r="AT32" i="3"/>
  <c r="ID32" i="3"/>
  <c r="HV32" i="3"/>
  <c r="HN13" i="3"/>
  <c r="AL32" i="3"/>
  <c r="HN7" i="3"/>
  <c r="AD33" i="3"/>
  <c r="AD17" i="3"/>
  <c r="AL18" i="3"/>
  <c r="DV10" i="3"/>
  <c r="ID17" i="3"/>
  <c r="F32" i="3"/>
  <c r="AD25" i="3"/>
  <c r="AL34" i="3"/>
  <c r="AL8" i="3"/>
  <c r="CP10" i="3"/>
  <c r="A45" i="7"/>
  <c r="G45" i="7" s="1"/>
  <c r="A102" i="7"/>
  <c r="F102" i="7" s="1"/>
  <c r="HF10" i="3"/>
  <c r="FJ10" i="3"/>
  <c r="ET10" i="3"/>
  <c r="ED10" i="3"/>
  <c r="DN10" i="3"/>
  <c r="GX10" i="3"/>
  <c r="ID10" i="3"/>
  <c r="FR10" i="3"/>
  <c r="CH10" i="3"/>
  <c r="AT23" i="3"/>
  <c r="BJ10" i="3"/>
  <c r="AL10" i="3"/>
  <c r="BB10" i="3"/>
  <c r="HV10" i="3"/>
  <c r="AT6" i="3"/>
  <c r="F10" i="3"/>
  <c r="DF10" i="3"/>
  <c r="BZ10" i="3"/>
  <c r="BR10" i="3"/>
  <c r="AT31" i="3"/>
  <c r="N10" i="3"/>
  <c r="HN10" i="3"/>
  <c r="FB10" i="3"/>
  <c r="FZ10" i="3"/>
  <c r="AT13" i="3"/>
  <c r="AT21" i="3"/>
  <c r="AT29" i="3"/>
  <c r="V10" i="3"/>
  <c r="GH10" i="3"/>
  <c r="CX10" i="3"/>
  <c r="ID34" i="3"/>
  <c r="GX34" i="3"/>
  <c r="FZ34" i="3"/>
  <c r="FJ34" i="3"/>
  <c r="ET34" i="3"/>
  <c r="ED34" i="3"/>
  <c r="DN34" i="3"/>
  <c r="HN34" i="3"/>
  <c r="GP34" i="3"/>
  <c r="N34" i="3"/>
  <c r="DV34" i="3"/>
  <c r="CP34" i="3"/>
  <c r="BR34" i="3"/>
  <c r="HF34" i="3"/>
  <c r="FB34" i="3"/>
  <c r="ID14" i="3"/>
  <c r="ID31" i="3"/>
  <c r="BZ34" i="3"/>
  <c r="ID6" i="3"/>
  <c r="ID23" i="3"/>
  <c r="GH34" i="3"/>
  <c r="CH34" i="3"/>
  <c r="ID7" i="3"/>
  <c r="CX34" i="3"/>
  <c r="V34" i="3"/>
  <c r="HV34" i="3"/>
  <c r="FR34" i="3"/>
  <c r="EL34" i="3"/>
  <c r="AD34" i="3"/>
  <c r="ID30" i="3"/>
  <c r="AD8" i="3"/>
  <c r="AT30" i="3"/>
  <c r="AT15" i="3"/>
  <c r="BJ34" i="3"/>
  <c r="DF15" i="3"/>
  <c r="FR21" i="3"/>
  <c r="I14" i="7"/>
  <c r="B14" i="7"/>
  <c r="GP11" i="3"/>
  <c r="FZ11" i="3"/>
  <c r="HV11" i="3"/>
  <c r="GH11" i="3"/>
  <c r="FR11" i="3"/>
  <c r="FB11" i="3"/>
  <c r="CP11" i="3"/>
  <c r="BR11" i="3"/>
  <c r="BB15" i="3"/>
  <c r="AT11" i="3"/>
  <c r="V11" i="3"/>
  <c r="ID11" i="3"/>
  <c r="HF11" i="3"/>
  <c r="ET11" i="3"/>
  <c r="DN11" i="3"/>
  <c r="CX11" i="3"/>
  <c r="DV11" i="3"/>
  <c r="GX11" i="3"/>
  <c r="CH11" i="3"/>
  <c r="BB30" i="3"/>
  <c r="FJ11" i="3"/>
  <c r="AL11" i="3"/>
  <c r="DF11" i="3"/>
  <c r="BZ11" i="3"/>
  <c r="BB22" i="3"/>
  <c r="BB23" i="3"/>
  <c r="AD11" i="3"/>
  <c r="BJ11" i="3"/>
  <c r="HN19" i="3"/>
  <c r="GP19" i="3"/>
  <c r="FZ19" i="3"/>
  <c r="FJ19" i="3"/>
  <c r="EL19" i="3"/>
  <c r="GX19" i="3"/>
  <c r="GH19" i="3"/>
  <c r="DF19" i="3"/>
  <c r="BJ19" i="3"/>
  <c r="AL19" i="3"/>
  <c r="FR19" i="3"/>
  <c r="DN23" i="3"/>
  <c r="N19" i="3"/>
  <c r="ID19" i="3"/>
  <c r="HF19" i="3"/>
  <c r="CP19" i="3"/>
  <c r="BR19" i="3"/>
  <c r="FB19" i="3"/>
  <c r="ED19" i="3"/>
  <c r="ET19" i="3"/>
  <c r="DN15" i="3"/>
  <c r="CH19" i="3"/>
  <c r="DN19" i="3"/>
  <c r="AT19" i="3"/>
  <c r="DN29" i="3"/>
  <c r="BZ19" i="3"/>
  <c r="BB19" i="3"/>
  <c r="DV19" i="3"/>
  <c r="DN5" i="3"/>
  <c r="HF27" i="3"/>
  <c r="GP27" i="3"/>
  <c r="FZ27" i="3"/>
  <c r="ID27" i="3"/>
  <c r="ED27" i="3"/>
  <c r="GH27" i="3"/>
  <c r="FJ27" i="3"/>
  <c r="AD27" i="3"/>
  <c r="F27" i="3"/>
  <c r="DV27" i="3"/>
  <c r="DF27" i="3"/>
  <c r="CH27" i="3"/>
  <c r="GX27" i="3"/>
  <c r="FB27" i="3"/>
  <c r="FZ6" i="3"/>
  <c r="FZ22" i="3"/>
  <c r="ET27" i="3"/>
  <c r="EL27" i="3"/>
  <c r="HV27" i="3"/>
  <c r="FR27" i="3"/>
  <c r="FZ30" i="3"/>
  <c r="HN27" i="3"/>
  <c r="BZ27" i="3"/>
  <c r="AT27" i="3"/>
  <c r="AD19" i="3"/>
  <c r="AL24" i="3"/>
  <c r="AT7" i="3"/>
  <c r="BB25" i="3"/>
  <c r="CP29" i="3"/>
  <c r="CX24" i="3"/>
  <c r="DF34" i="3"/>
  <c r="DF29" i="3"/>
  <c r="DN17" i="3"/>
  <c r="FB33" i="3"/>
  <c r="FB5" i="3"/>
  <c r="GH16" i="3"/>
  <c r="HN11" i="3"/>
  <c r="HV24" i="3"/>
  <c r="HV8" i="3"/>
  <c r="ID22" i="3"/>
  <c r="FJ28" i="3"/>
  <c r="ID33" i="3"/>
  <c r="GP17" i="3"/>
  <c r="ET5" i="3"/>
  <c r="F23" i="3"/>
  <c r="F31" i="3"/>
  <c r="BZ5" i="3"/>
  <c r="A26" i="7"/>
  <c r="E26" i="7" s="1" a="1"/>
  <c r="E26" i="7" s="1"/>
  <c r="BR13" i="3"/>
  <c r="ED7" i="3"/>
  <c r="ED23" i="3"/>
  <c r="BZ21" i="3"/>
  <c r="F29" i="3"/>
  <c r="GP29" i="3"/>
  <c r="F63" i="7"/>
  <c r="B63" i="7"/>
  <c r="GX9" i="3"/>
  <c r="GH9" i="3"/>
  <c r="FZ9" i="3"/>
  <c r="DN9" i="3"/>
  <c r="CX9" i="3"/>
  <c r="BZ9" i="3"/>
  <c r="HN9" i="3"/>
  <c r="ET9" i="3"/>
  <c r="BB9" i="3"/>
  <c r="AL7" i="3"/>
  <c r="AD9" i="3"/>
  <c r="DF9" i="3"/>
  <c r="HV9" i="3"/>
  <c r="HF9" i="3"/>
  <c r="FB9" i="3"/>
  <c r="AL15" i="3"/>
  <c r="AL23" i="3"/>
  <c r="AL31" i="3"/>
  <c r="CP9" i="3"/>
  <c r="AL9" i="3"/>
  <c r="EL9" i="3"/>
  <c r="CH9" i="3"/>
  <c r="AL5" i="3"/>
  <c r="HV17" i="3"/>
  <c r="GX17" i="3"/>
  <c r="GH17" i="3"/>
  <c r="FR17" i="3"/>
  <c r="ET17" i="3"/>
  <c r="EL17" i="3"/>
  <c r="BR17" i="3"/>
  <c r="AT17" i="3"/>
  <c r="FZ17" i="3"/>
  <c r="ED17" i="3"/>
  <c r="CX23" i="3"/>
  <c r="V17" i="3"/>
  <c r="HN17" i="3"/>
  <c r="FJ17" i="3"/>
  <c r="CX14" i="3"/>
  <c r="CX17" i="3"/>
  <c r="BZ17" i="3"/>
  <c r="HF17" i="3"/>
  <c r="DV17" i="3"/>
  <c r="DF17" i="3"/>
  <c r="CX7" i="3"/>
  <c r="BB17" i="3"/>
  <c r="CX31" i="3"/>
  <c r="CP17" i="3"/>
  <c r="BJ17" i="3"/>
  <c r="AL17" i="3"/>
  <c r="CX15" i="3"/>
  <c r="CH17" i="3"/>
  <c r="HN25" i="3"/>
  <c r="GX25" i="3"/>
  <c r="GH25" i="3"/>
  <c r="HV25" i="3"/>
  <c r="EL25" i="3"/>
  <c r="DN25" i="3"/>
  <c r="GP25" i="3"/>
  <c r="FZ25" i="3"/>
  <c r="DV25" i="3"/>
  <c r="AL25" i="3"/>
  <c r="N25" i="3"/>
  <c r="FJ15" i="3"/>
  <c r="FB25" i="3"/>
  <c r="CP25" i="3"/>
  <c r="ET25" i="3"/>
  <c r="FJ7" i="3"/>
  <c r="ED25" i="3"/>
  <c r="DF25" i="3"/>
  <c r="AT25" i="3"/>
  <c r="FJ23" i="3"/>
  <c r="ID25" i="3"/>
  <c r="GX33" i="3"/>
  <c r="GH33" i="3"/>
  <c r="GP33" i="3"/>
  <c r="HF33" i="3"/>
  <c r="DF33" i="3"/>
  <c r="F33" i="3"/>
  <c r="HV7" i="3"/>
  <c r="HV15" i="3"/>
  <c r="HV31" i="3"/>
  <c r="FZ33" i="3"/>
  <c r="EL33" i="3"/>
  <c r="CH33" i="3"/>
  <c r="BJ33" i="3"/>
  <c r="HN33" i="3"/>
  <c r="FR33" i="3"/>
  <c r="FJ33" i="3"/>
  <c r="ED33" i="3"/>
  <c r="DV33" i="3"/>
  <c r="HV22" i="3"/>
  <c r="CX33" i="3"/>
  <c r="HV33" i="3"/>
  <c r="BR33" i="3"/>
  <c r="AT33" i="3"/>
  <c r="HV29" i="3"/>
  <c r="HV6" i="3"/>
  <c r="F14" i="3"/>
  <c r="N5" i="3"/>
  <c r="AL12" i="3"/>
  <c r="BR25" i="3"/>
  <c r="BZ33" i="3"/>
  <c r="CH29" i="3"/>
  <c r="CX25" i="3"/>
  <c r="CX5" i="3"/>
  <c r="ED28" i="3"/>
  <c r="ID9" i="3"/>
  <c r="N14" i="3"/>
  <c r="AD20" i="3"/>
  <c r="BJ31" i="3"/>
  <c r="BJ29" i="3"/>
  <c r="BJ15" i="3"/>
  <c r="GX6" i="3"/>
  <c r="EL14" i="3"/>
  <c r="BZ23" i="3"/>
  <c r="GX14" i="3"/>
  <c r="A87" i="7"/>
  <c r="BZ22" i="3"/>
  <c r="A145" i="7"/>
  <c r="GX7" i="3"/>
  <c r="EL30" i="3"/>
  <c r="HF30" i="3"/>
  <c r="HF12" i="3"/>
  <c r="FR12" i="3"/>
  <c r="FB12" i="3"/>
  <c r="EL12" i="3"/>
  <c r="DV12" i="3"/>
  <c r="DF12" i="3"/>
  <c r="HN12" i="3"/>
  <c r="GX12" i="3"/>
  <c r="CX12" i="3"/>
  <c r="BZ12" i="3"/>
  <c r="HV12" i="3"/>
  <c r="BJ7" i="3"/>
  <c r="BB12" i="3"/>
  <c r="AD12" i="3"/>
  <c r="ED12" i="3"/>
  <c r="GP12" i="3"/>
  <c r="FZ12" i="3"/>
  <c r="CH12" i="3"/>
  <c r="BJ30" i="3"/>
  <c r="HV20" i="3"/>
  <c r="ID20" i="3"/>
  <c r="FR20" i="3"/>
  <c r="FB20" i="3"/>
  <c r="EL20" i="3"/>
  <c r="DV20" i="3"/>
  <c r="DF20" i="3"/>
  <c r="HN20" i="3"/>
  <c r="HF20" i="3"/>
  <c r="GP20" i="3"/>
  <c r="ET20" i="3"/>
  <c r="FJ20" i="3"/>
  <c r="BR20" i="3"/>
  <c r="AT20" i="3"/>
  <c r="V20" i="3"/>
  <c r="GX20" i="3"/>
  <c r="DV15" i="3"/>
  <c r="DV22" i="3"/>
  <c r="CX20" i="3"/>
  <c r="BZ20" i="3"/>
  <c r="DV14" i="3"/>
  <c r="CP20" i="3"/>
  <c r="HN28" i="3"/>
  <c r="GX28" i="3"/>
  <c r="FR28" i="3"/>
  <c r="FB28" i="3"/>
  <c r="EL28" i="3"/>
  <c r="DV28" i="3"/>
  <c r="FZ28" i="3"/>
  <c r="DN28" i="3"/>
  <c r="HF28" i="3"/>
  <c r="GH7" i="3"/>
  <c r="GH15" i="3"/>
  <c r="GH23" i="3"/>
  <c r="GH31" i="3"/>
  <c r="ET28" i="3"/>
  <c r="AL28" i="3"/>
  <c r="N28" i="3"/>
  <c r="HV28" i="3"/>
  <c r="CP28" i="3"/>
  <c r="GP28" i="3"/>
  <c r="GH14" i="3"/>
  <c r="V30" i="3"/>
  <c r="V28" i="3"/>
  <c r="V6" i="3"/>
  <c r="AD28" i="3"/>
  <c r="CP12" i="3"/>
  <c r="DF28" i="3"/>
  <c r="DV21" i="3"/>
  <c r="EL15" i="3"/>
  <c r="FJ12" i="3"/>
  <c r="A53" i="7"/>
  <c r="A111" i="7"/>
  <c r="C111" i="7" s="1"/>
  <c r="A167" i="7"/>
  <c r="E167" i="7" s="1" a="1"/>
  <c r="E167" i="7" s="1"/>
  <c r="H9" i="7"/>
  <c r="F15" i="7"/>
  <c r="GX5" i="3"/>
  <c r="GH5" i="3"/>
  <c r="HF5" i="3"/>
  <c r="FZ5" i="3"/>
  <c r="ID5" i="3"/>
  <c r="DF5" i="3"/>
  <c r="CP5" i="3"/>
  <c r="FR5" i="3"/>
  <c r="EL5" i="3"/>
  <c r="BR5" i="3"/>
  <c r="AT5" i="3"/>
  <c r="F15" i="3"/>
  <c r="HV5" i="3"/>
  <c r="ED5" i="3"/>
  <c r="GP5" i="3"/>
  <c r="HN5" i="3"/>
  <c r="GX13" i="3"/>
  <c r="GH13" i="3"/>
  <c r="ID13" i="3"/>
  <c r="GP13" i="3"/>
  <c r="FJ13" i="3"/>
  <c r="HF13" i="3"/>
  <c r="FZ13" i="3"/>
  <c r="CH13" i="3"/>
  <c r="BJ13" i="3"/>
  <c r="DV13" i="3"/>
  <c r="BR31" i="3"/>
  <c r="AL13" i="3"/>
  <c r="N13" i="3"/>
  <c r="HV13" i="3"/>
  <c r="FB13" i="3"/>
  <c r="DN13" i="3"/>
  <c r="CP13" i="3"/>
  <c r="BR22" i="3"/>
  <c r="ED13" i="3"/>
  <c r="BR23" i="3"/>
  <c r="FR13" i="3"/>
  <c r="ID21" i="3"/>
  <c r="HF21" i="3"/>
  <c r="GX21" i="3"/>
  <c r="GH21" i="3"/>
  <c r="HN21" i="3"/>
  <c r="FZ21" i="3"/>
  <c r="FB21" i="3"/>
  <c r="ED21" i="3"/>
  <c r="ET21" i="3"/>
  <c r="ED15" i="3"/>
  <c r="BB21" i="3"/>
  <c r="AD21" i="3"/>
  <c r="DF21" i="3"/>
  <c r="F21" i="3"/>
  <c r="EL21" i="3"/>
  <c r="ED31" i="3"/>
  <c r="CH21" i="3"/>
  <c r="GP21" i="3"/>
  <c r="GX29" i="3"/>
  <c r="GH29" i="3"/>
  <c r="HF29" i="3"/>
  <c r="DV29" i="3"/>
  <c r="ID29" i="3"/>
  <c r="FR29" i="3"/>
  <c r="ED29" i="3"/>
  <c r="V29" i="3"/>
  <c r="FZ29" i="3"/>
  <c r="FJ29" i="3"/>
  <c r="CX29" i="3"/>
  <c r="BZ29" i="3"/>
  <c r="GP6" i="3"/>
  <c r="GP22" i="3"/>
  <c r="N20" i="3"/>
  <c r="N12" i="3"/>
  <c r="V22" i="3"/>
  <c r="BR21" i="3"/>
  <c r="BZ13" i="3"/>
  <c r="BZ7" i="3"/>
  <c r="CH14" i="3"/>
  <c r="DV30" i="3"/>
  <c r="DV5" i="3"/>
  <c r="ET29" i="3"/>
  <c r="GH22" i="3"/>
  <c r="GX23" i="3"/>
  <c r="ID12" i="3"/>
  <c r="N30" i="3"/>
  <c r="AL29" i="3"/>
  <c r="AL21" i="3"/>
  <c r="BB28" i="3"/>
  <c r="BJ5" i="3"/>
  <c r="BR15" i="3"/>
  <c r="BR12" i="3"/>
  <c r="BR7" i="3"/>
  <c r="CX28" i="3"/>
  <c r="DF13" i="3"/>
  <c r="DN21" i="3"/>
  <c r="DN12" i="3"/>
  <c r="ID28" i="3"/>
  <c r="A76" i="7"/>
  <c r="C76" i="7" s="1"/>
  <c r="A132" i="7"/>
  <c r="I132" i="7" s="1"/>
  <c r="GH6" i="3"/>
  <c r="FJ6" i="3"/>
  <c r="ET6" i="3"/>
  <c r="ED6" i="3"/>
  <c r="DN6" i="3"/>
  <c r="HF6" i="3"/>
  <c r="HN14" i="3"/>
  <c r="FJ14" i="3"/>
  <c r="ET14" i="3"/>
  <c r="ED14" i="3"/>
  <c r="DN14" i="3"/>
  <c r="HF14" i="3"/>
  <c r="FZ14" i="3"/>
  <c r="FR14" i="3"/>
  <c r="HN22" i="3"/>
  <c r="FJ22" i="3"/>
  <c r="ET22" i="3"/>
  <c r="ED22" i="3"/>
  <c r="DN22" i="3"/>
  <c r="EL22" i="3"/>
  <c r="HF22" i="3"/>
  <c r="HV30" i="3"/>
  <c r="GP30" i="3"/>
  <c r="FJ30" i="3"/>
  <c r="ET30" i="3"/>
  <c r="ED30" i="3"/>
  <c r="DN30" i="3"/>
  <c r="GH30" i="3"/>
  <c r="N22" i="3"/>
  <c r="V14" i="3"/>
  <c r="AT14" i="3"/>
  <c r="BB6" i="3"/>
  <c r="BZ6" i="3"/>
  <c r="CH30" i="3"/>
  <c r="DF30" i="3"/>
  <c r="DF14" i="3"/>
  <c r="DV6" i="3"/>
  <c r="EL7" i="3"/>
  <c r="FB6" i="3"/>
  <c r="GX22" i="3"/>
  <c r="GX15" i="3"/>
  <c r="HN30" i="3"/>
  <c r="HN6" i="3"/>
  <c r="F30" i="3"/>
  <c r="N31" i="3"/>
  <c r="AD30" i="3"/>
  <c r="AL22" i="3"/>
  <c r="BJ22" i="3"/>
  <c r="BR14" i="3"/>
  <c r="BZ15" i="3"/>
  <c r="CP14" i="3"/>
  <c r="CX6" i="3"/>
  <c r="EL31" i="3"/>
  <c r="FB30" i="3"/>
  <c r="GP7" i="3"/>
  <c r="FZ7" i="3"/>
  <c r="ID15" i="3"/>
  <c r="GP15" i="3"/>
  <c r="FZ15" i="3"/>
  <c r="HV23" i="3"/>
  <c r="GP23" i="3"/>
  <c r="FZ23" i="3"/>
  <c r="HF31" i="3"/>
  <c r="GP31" i="3"/>
  <c r="FZ31" i="3"/>
  <c r="GX31" i="3"/>
  <c r="DN31" i="3"/>
  <c r="DV23" i="3"/>
  <c r="ET23" i="3"/>
  <c r="FB15" i="3"/>
  <c r="A19" i="7"/>
  <c r="B19" i="7" s="1"/>
  <c r="B105" i="7"/>
  <c r="G2" i="7"/>
  <c r="I112" i="7"/>
  <c r="B112" i="7"/>
  <c r="B70" i="7"/>
  <c r="G133" i="7"/>
  <c r="B133" i="7"/>
  <c r="E77" i="7"/>
  <c r="B77" i="7"/>
  <c r="B49" i="7"/>
  <c r="B161" i="7"/>
  <c r="B28" i="7"/>
  <c r="B84" i="7"/>
  <c r="B140" i="7"/>
  <c r="B147" i="7"/>
  <c r="F8" i="7"/>
  <c r="B42" i="7"/>
  <c r="H50" i="7"/>
  <c r="H56" i="7"/>
  <c r="E78" i="7"/>
  <c r="F78" i="7"/>
  <c r="C78" i="7"/>
  <c r="F50" i="7"/>
  <c r="I128" i="7"/>
  <c r="D29" i="7"/>
  <c r="H51" i="7"/>
  <c r="G183" i="7"/>
  <c r="H183" i="7"/>
  <c r="F51" i="7"/>
  <c r="F29" i="7"/>
  <c r="I51" i="7"/>
  <c r="E51" i="7"/>
  <c r="H29" i="7"/>
  <c r="G50" i="7"/>
  <c r="A52" i="7"/>
  <c r="G52" i="7" s="1"/>
  <c r="D78" i="7"/>
  <c r="C112" i="7"/>
  <c r="E72" i="7"/>
  <c r="H92" i="7"/>
  <c r="D112" i="7"/>
  <c r="D190" i="7"/>
  <c r="F72" i="7"/>
  <c r="G78" i="7"/>
  <c r="I92" i="7"/>
  <c r="E112" i="7"/>
  <c r="G72" i="7"/>
  <c r="H78" i="7"/>
  <c r="F112" i="7"/>
  <c r="D72" i="7"/>
  <c r="H72" i="7"/>
  <c r="G112" i="7"/>
  <c r="H112" i="7"/>
  <c r="D15" i="7"/>
  <c r="D71" i="7"/>
  <c r="E15" i="7"/>
  <c r="C28" i="7"/>
  <c r="F44" i="7"/>
  <c r="F71" i="7"/>
  <c r="C85" i="7"/>
  <c r="F100" i="7"/>
  <c r="E141" i="7"/>
  <c r="G9" i="7"/>
  <c r="D28" i="7"/>
  <c r="G44" i="7"/>
  <c r="C56" i="7"/>
  <c r="H57" i="7"/>
  <c r="G71" i="7"/>
  <c r="F85" i="7"/>
  <c r="G100" i="7"/>
  <c r="G141" i="7"/>
  <c r="I161" i="7"/>
  <c r="D14" i="7"/>
  <c r="E28" i="7"/>
  <c r="D56" i="7"/>
  <c r="H71" i="7"/>
  <c r="F99" i="7"/>
  <c r="G135" i="7"/>
  <c r="C140" i="7"/>
  <c r="C184" i="7"/>
  <c r="D203" i="7"/>
  <c r="F14" i="7"/>
  <c r="C50" i="7"/>
  <c r="B51" i="7"/>
  <c r="E56" i="7"/>
  <c r="I71" i="7"/>
  <c r="G99" i="7"/>
  <c r="E106" i="7"/>
  <c r="D140" i="7"/>
  <c r="E147" i="7"/>
  <c r="D183" i="7"/>
  <c r="D184" i="7"/>
  <c r="H203" i="7"/>
  <c r="G14" i="7"/>
  <c r="E22" i="7"/>
  <c r="D50" i="7"/>
  <c r="F56" i="7"/>
  <c r="I64" i="7"/>
  <c r="G84" i="7"/>
  <c r="H99" i="7"/>
  <c r="F140" i="7"/>
  <c r="E183" i="7"/>
  <c r="E184" i="7"/>
  <c r="I203" i="7"/>
  <c r="E50" i="7"/>
  <c r="D51" i="7"/>
  <c r="G56" i="7"/>
  <c r="B78" i="7"/>
  <c r="D92" i="7"/>
  <c r="G140" i="7"/>
  <c r="F183" i="7"/>
  <c r="C43" i="7"/>
  <c r="G43" i="7"/>
  <c r="F43" i="7"/>
  <c r="H126" i="7"/>
  <c r="E126" i="7"/>
  <c r="B155" i="7"/>
  <c r="H155" i="7"/>
  <c r="G155" i="7"/>
  <c r="D204" i="7"/>
  <c r="F204" i="7"/>
  <c r="C204" i="7"/>
  <c r="B43" i="7"/>
  <c r="G79" i="7"/>
  <c r="I79" i="7"/>
  <c r="H79" i="7"/>
  <c r="F105" i="7"/>
  <c r="I119" i="7"/>
  <c r="G119" i="7"/>
  <c r="E119" i="7"/>
  <c r="C126" i="7"/>
  <c r="C155" i="7"/>
  <c r="I189" i="7"/>
  <c r="F189" i="7"/>
  <c r="E189" i="7"/>
  <c r="B204" i="7"/>
  <c r="D43" i="7"/>
  <c r="B58" i="7"/>
  <c r="E65" i="7"/>
  <c r="D65" i="7"/>
  <c r="B79" i="7"/>
  <c r="G105" i="7"/>
  <c r="D121" i="7"/>
  <c r="I126" i="7"/>
  <c r="D155" i="7"/>
  <c r="E162" i="7"/>
  <c r="B162" i="7"/>
  <c r="C182" i="7"/>
  <c r="D189" i="7"/>
  <c r="H196" i="7"/>
  <c r="G196" i="7"/>
  <c r="F196" i="7"/>
  <c r="D198" i="7"/>
  <c r="G198" i="7"/>
  <c r="F198" i="7"/>
  <c r="G204" i="7"/>
  <c r="G23" i="7"/>
  <c r="F23" i="7"/>
  <c r="E23" i="7"/>
  <c r="H43" i="7"/>
  <c r="E49" i="7"/>
  <c r="G65" i="7"/>
  <c r="G107" i="7"/>
  <c r="H107" i="7"/>
  <c r="F107" i="7"/>
  <c r="C119" i="7"/>
  <c r="E155" i="7"/>
  <c r="H168" i="7"/>
  <c r="G168" i="7"/>
  <c r="F182" i="7"/>
  <c r="H189" i="7"/>
  <c r="B198" i="7"/>
  <c r="H204" i="7"/>
  <c r="I9" i="7"/>
  <c r="D9" i="7"/>
  <c r="I22" i="7"/>
  <c r="G22" i="7"/>
  <c r="F22" i="7"/>
  <c r="B23" i="7"/>
  <c r="I43" i="7"/>
  <c r="G49" i="7"/>
  <c r="G58" i="7"/>
  <c r="H65" i="7"/>
  <c r="C70" i="7"/>
  <c r="D79" i="7"/>
  <c r="I84" i="7"/>
  <c r="C84" i="7"/>
  <c r="I106" i="7"/>
  <c r="H106" i="7"/>
  <c r="G106" i="7"/>
  <c r="B107" i="7"/>
  <c r="D119" i="7"/>
  <c r="I135" i="7"/>
  <c r="D135" i="7"/>
  <c r="C135" i="7"/>
  <c r="F155" i="7"/>
  <c r="G182" i="7"/>
  <c r="C196" i="7"/>
  <c r="C198" i="7"/>
  <c r="I2" i="7"/>
  <c r="F2" i="7"/>
  <c r="B9" i="7"/>
  <c r="I15" i="7"/>
  <c r="H15" i="7"/>
  <c r="G15" i="7"/>
  <c r="B22" i="7"/>
  <c r="I65" i="7"/>
  <c r="D70" i="7"/>
  <c r="E79" i="7"/>
  <c r="D84" i="7"/>
  <c r="I100" i="7"/>
  <c r="C100" i="7"/>
  <c r="B100" i="7"/>
  <c r="B106" i="7"/>
  <c r="C107" i="7"/>
  <c r="H119" i="7"/>
  <c r="B135" i="7"/>
  <c r="F141" i="7"/>
  <c r="I141" i="7"/>
  <c r="F142" i="7"/>
  <c r="F147" i="7"/>
  <c r="I147" i="7"/>
  <c r="H147" i="7"/>
  <c r="I154" i="7"/>
  <c r="F154" i="7"/>
  <c r="I155" i="7"/>
  <c r="C168" i="7"/>
  <c r="I176" i="7"/>
  <c r="G176" i="7"/>
  <c r="H182" i="7"/>
  <c r="H190" i="7"/>
  <c r="F190" i="7"/>
  <c r="E190" i="7"/>
  <c r="D196" i="7"/>
  <c r="H198" i="7"/>
  <c r="D210" i="7"/>
  <c r="G210" i="7"/>
  <c r="F210" i="7"/>
  <c r="D2" i="7"/>
  <c r="E9" i="7"/>
  <c r="B15" i="7"/>
  <c r="C22" i="7"/>
  <c r="D23" i="7"/>
  <c r="I44" i="7"/>
  <c r="E44" i="7"/>
  <c r="D44" i="7"/>
  <c r="B64" i="7"/>
  <c r="H70" i="7"/>
  <c r="F79" i="7"/>
  <c r="E84" i="7"/>
  <c r="D100" i="7"/>
  <c r="C106" i="7"/>
  <c r="D107" i="7"/>
  <c r="E135" i="7"/>
  <c r="B141" i="7"/>
  <c r="G142" i="7"/>
  <c r="C154" i="7"/>
  <c r="C161" i="7"/>
  <c r="D168" i="7"/>
  <c r="B176" i="7"/>
  <c r="H184" i="7"/>
  <c r="G184" i="7"/>
  <c r="B190" i="7"/>
  <c r="E196" i="7"/>
  <c r="D205" i="7"/>
  <c r="E2" i="7"/>
  <c r="F9" i="7"/>
  <c r="D22" i="7"/>
  <c r="H23" i="7"/>
  <c r="I28" i="7"/>
  <c r="H28" i="7"/>
  <c r="G28" i="7"/>
  <c r="I37" i="7"/>
  <c r="B44" i="7"/>
  <c r="F84" i="7"/>
  <c r="C99" i="7"/>
  <c r="D99" i="7"/>
  <c r="B99" i="7"/>
  <c r="E100" i="7"/>
  <c r="D106" i="7"/>
  <c r="E107" i="7"/>
  <c r="D128" i="7"/>
  <c r="B128" i="7"/>
  <c r="F135" i="7"/>
  <c r="C141" i="7"/>
  <c r="C147" i="7"/>
  <c r="E149" i="7"/>
  <c r="E168" i="7"/>
  <c r="F176" i="7"/>
  <c r="B184" i="7"/>
  <c r="C190" i="7"/>
  <c r="C210" i="7"/>
  <c r="B50" i="7"/>
  <c r="B71" i="7"/>
  <c r="B72" i="7"/>
  <c r="A125" i="7"/>
  <c r="A124" i="7"/>
  <c r="B124" i="7" s="1"/>
  <c r="A122" i="7"/>
  <c r="E7" i="7"/>
  <c r="I7" i="7"/>
  <c r="H7" i="7"/>
  <c r="F7" i="7"/>
  <c r="G16" i="7"/>
  <c r="D16" i="7"/>
  <c r="B16" i="7"/>
  <c r="I16" i="7"/>
  <c r="E98" i="7"/>
  <c r="F98" i="7"/>
  <c r="D98" i="7"/>
  <c r="G98" i="7"/>
  <c r="C98" i="7"/>
  <c r="C7" i="7"/>
  <c r="E16" i="7"/>
  <c r="E30" i="7"/>
  <c r="H30" i="7"/>
  <c r="D30" i="7"/>
  <c r="B30" i="7"/>
  <c r="H98" i="7"/>
  <c r="G113" i="7"/>
  <c r="I113" i="7"/>
  <c r="H113" i="7"/>
  <c r="E113" i="7"/>
  <c r="F113" i="7"/>
  <c r="C113" i="7"/>
  <c r="B113" i="7"/>
  <c r="A12" i="7"/>
  <c r="A11" i="7"/>
  <c r="A13" i="7"/>
  <c r="A47" i="7"/>
  <c r="B47" i="7" s="1"/>
  <c r="A48" i="7"/>
  <c r="A103" i="7"/>
  <c r="B103" i="7" s="1"/>
  <c r="A101" i="7"/>
  <c r="A104" i="7"/>
  <c r="A160" i="7"/>
  <c r="A159" i="7"/>
  <c r="B159" i="7" s="1"/>
  <c r="A157" i="7"/>
  <c r="A158" i="7"/>
  <c r="A193" i="7"/>
  <c r="A192" i="7"/>
  <c r="A194" i="7"/>
  <c r="B194" i="7" s="1"/>
  <c r="A195" i="7"/>
  <c r="C21" i="7"/>
  <c r="D21" i="7"/>
  <c r="I21" i="7"/>
  <c r="E21" i="7"/>
  <c r="E36" i="7"/>
  <c r="G36" i="7"/>
  <c r="C36" i="7"/>
  <c r="I36" i="7"/>
  <c r="F36" i="7"/>
  <c r="D36" i="7"/>
  <c r="A25" i="7"/>
  <c r="A24" i="7"/>
  <c r="A81" i="7"/>
  <c r="A83" i="7"/>
  <c r="A138" i="7"/>
  <c r="B138" i="7" s="1"/>
  <c r="A137" i="7"/>
  <c r="A139" i="7"/>
  <c r="A136" i="7"/>
  <c r="F16" i="7"/>
  <c r="A80" i="7"/>
  <c r="E86" i="7"/>
  <c r="H86" i="7"/>
  <c r="G86" i="7"/>
  <c r="D86" i="7"/>
  <c r="I86" i="7"/>
  <c r="B86" i="7"/>
  <c r="I98" i="7"/>
  <c r="D113" i="7"/>
  <c r="G120" i="7"/>
  <c r="D120" i="7"/>
  <c r="I120" i="7"/>
  <c r="H120" i="7"/>
  <c r="F120" i="7"/>
  <c r="C120" i="7"/>
  <c r="E120" i="7"/>
  <c r="B120" i="7"/>
  <c r="A174" i="7"/>
  <c r="A173" i="7"/>
  <c r="B173" i="7" s="1"/>
  <c r="G7" i="7"/>
  <c r="A10" i="7"/>
  <c r="H16" i="7"/>
  <c r="G21" i="7"/>
  <c r="G30" i="7"/>
  <c r="H36" i="7"/>
  <c r="E42" i="7"/>
  <c r="F42" i="7"/>
  <c r="D42" i="7"/>
  <c r="C42" i="7"/>
  <c r="G63" i="7"/>
  <c r="H63" i="7"/>
  <c r="D63" i="7"/>
  <c r="I63" i="7"/>
  <c r="E63" i="7"/>
  <c r="C63" i="7"/>
  <c r="A82" i="7"/>
  <c r="B82" i="7" s="1"/>
  <c r="F86" i="7"/>
  <c r="E127" i="7"/>
  <c r="B127" i="7"/>
  <c r="G127" i="7"/>
  <c r="D127" i="7"/>
  <c r="C127" i="7"/>
  <c r="I127" i="7"/>
  <c r="C134" i="7"/>
  <c r="H134" i="7"/>
  <c r="B134" i="7"/>
  <c r="I134" i="7"/>
  <c r="F134" i="7"/>
  <c r="E134" i="7"/>
  <c r="D134" i="7"/>
  <c r="D7" i="7"/>
  <c r="A18" i="7"/>
  <c r="F21" i="7"/>
  <c r="F30" i="7"/>
  <c r="B36" i="7"/>
  <c r="G57" i="7"/>
  <c r="I57" i="7"/>
  <c r="E57" i="7"/>
  <c r="C57" i="7"/>
  <c r="B57" i="7"/>
  <c r="A123" i="7"/>
  <c r="A3" i="7"/>
  <c r="A5" i="7"/>
  <c r="B5" i="7" s="1"/>
  <c r="A4" i="7"/>
  <c r="A60" i="7"/>
  <c r="A59" i="7"/>
  <c r="A118" i="7"/>
  <c r="A115" i="7"/>
  <c r="A116" i="7"/>
  <c r="A38" i="7"/>
  <c r="A40" i="7"/>
  <c r="B40" i="7" s="1"/>
  <c r="A39" i="7"/>
  <c r="A94" i="7"/>
  <c r="A96" i="7"/>
  <c r="B96" i="7" s="1"/>
  <c r="A97" i="7"/>
  <c r="A150" i="7"/>
  <c r="A153" i="7"/>
  <c r="A152" i="7"/>
  <c r="B152" i="7" s="1"/>
  <c r="A151" i="7"/>
  <c r="A187" i="7"/>
  <c r="B187" i="7" s="1"/>
  <c r="A185" i="7"/>
  <c r="A188" i="7"/>
  <c r="A186" i="7"/>
  <c r="A20" i="7"/>
  <c r="H21" i="7"/>
  <c r="I30" i="7"/>
  <c r="G42" i="7"/>
  <c r="F57" i="7"/>
  <c r="A61" i="7"/>
  <c r="B61" i="7" s="1"/>
  <c r="C77" i="7"/>
  <c r="D77" i="7"/>
  <c r="I77" i="7"/>
  <c r="H77" i="7"/>
  <c r="G77" i="7"/>
  <c r="G91" i="7"/>
  <c r="H91" i="7"/>
  <c r="F91" i="7"/>
  <c r="D91" i="7"/>
  <c r="E91" i="7"/>
  <c r="A95" i="7"/>
  <c r="E114" i="7"/>
  <c r="H114" i="7"/>
  <c r="G114" i="7"/>
  <c r="D114" i="7"/>
  <c r="I114" i="7"/>
  <c r="F114" i="7"/>
  <c r="F127" i="7"/>
  <c r="G134" i="7"/>
  <c r="A171" i="7"/>
  <c r="F191" i="7"/>
  <c r="C191" i="7"/>
  <c r="G191" i="7"/>
  <c r="B191" i="7"/>
  <c r="D191" i="7"/>
  <c r="H191" i="7"/>
  <c r="E191" i="7"/>
  <c r="F175" i="7"/>
  <c r="G175" i="7"/>
  <c r="H175" i="7"/>
  <c r="C175" i="7"/>
  <c r="E175" i="7"/>
  <c r="I175" i="7"/>
  <c r="D175" i="7"/>
  <c r="A66" i="7"/>
  <c r="A68" i="7"/>
  <c r="B68" i="7" s="1"/>
  <c r="A69" i="7"/>
  <c r="A129" i="7"/>
  <c r="A130" i="7"/>
  <c r="A131" i="7"/>
  <c r="B131" i="7" s="1"/>
  <c r="H8" i="7"/>
  <c r="I8" i="7"/>
  <c r="G8" i="7"/>
  <c r="E8" i="7"/>
  <c r="A55" i="7"/>
  <c r="A54" i="7"/>
  <c r="A108" i="7"/>
  <c r="A110" i="7"/>
  <c r="B110" i="7" s="1"/>
  <c r="A165" i="7"/>
  <c r="A166" i="7"/>
  <c r="B166" i="7" s="1"/>
  <c r="A164" i="7"/>
  <c r="B8" i="7"/>
  <c r="G35" i="7"/>
  <c r="H35" i="7"/>
  <c r="D35" i="7"/>
  <c r="I35" i="7"/>
  <c r="F35" i="7"/>
  <c r="C35" i="7"/>
  <c r="A41" i="7"/>
  <c r="I42" i="7"/>
  <c r="A46" i="7"/>
  <c r="F77" i="7"/>
  <c r="I91" i="7"/>
  <c r="F93" i="7"/>
  <c r="E93" i="7"/>
  <c r="B93" i="7"/>
  <c r="G93" i="7"/>
  <c r="D93" i="7"/>
  <c r="A109" i="7"/>
  <c r="C114" i="7"/>
  <c r="F169" i="7"/>
  <c r="G169" i="7"/>
  <c r="I169" i="7"/>
  <c r="D169" i="7"/>
  <c r="E169" i="7"/>
  <c r="H169" i="7"/>
  <c r="C169" i="7"/>
  <c r="A172" i="7"/>
  <c r="A75" i="7"/>
  <c r="B75" i="7" s="1"/>
  <c r="A74" i="7"/>
  <c r="A73" i="7"/>
  <c r="A17" i="7"/>
  <c r="A27" i="7"/>
  <c r="F37" i="7"/>
  <c r="B37" i="7"/>
  <c r="H37" i="7"/>
  <c r="G37" i="7"/>
  <c r="A32" i="7"/>
  <c r="A31" i="7"/>
  <c r="A34" i="7"/>
  <c r="A33" i="7"/>
  <c r="B33" i="7" s="1"/>
  <c r="A89" i="7"/>
  <c r="B89" i="7" s="1"/>
  <c r="A88" i="7"/>
  <c r="A90" i="7"/>
  <c r="A146" i="7"/>
  <c r="A144" i="7"/>
  <c r="A143" i="7"/>
  <c r="A178" i="7"/>
  <c r="A179" i="7"/>
  <c r="A180" i="7"/>
  <c r="B180" i="7" s="1"/>
  <c r="A181" i="7"/>
  <c r="D8" i="7"/>
  <c r="E35" i="7"/>
  <c r="E37" i="7"/>
  <c r="E64" i="7"/>
  <c r="G64" i="7"/>
  <c r="C64" i="7"/>
  <c r="H64" i="7"/>
  <c r="F64" i="7"/>
  <c r="A67" i="7"/>
  <c r="H93" i="7"/>
  <c r="B169" i="7"/>
  <c r="F197" i="7"/>
  <c r="C197" i="7"/>
  <c r="G197" i="7"/>
  <c r="I197" i="7"/>
  <c r="D197" i="7"/>
  <c r="H197" i="7"/>
  <c r="E197" i="7"/>
  <c r="B197" i="7"/>
  <c r="D148" i="7"/>
  <c r="C148" i="7"/>
  <c r="I148" i="7"/>
  <c r="H148" i="7"/>
  <c r="E148" i="7"/>
  <c r="B148" i="7"/>
  <c r="H156" i="7"/>
  <c r="I156" i="7"/>
  <c r="E156" i="7"/>
  <c r="C156" i="7"/>
  <c r="G156" i="7"/>
  <c r="F156" i="7"/>
  <c r="B156" i="7"/>
  <c r="F163" i="7"/>
  <c r="E163" i="7"/>
  <c r="B163" i="7"/>
  <c r="H163" i="7"/>
  <c r="A206" i="7"/>
  <c r="A208" i="7"/>
  <c r="B208" i="7" s="1"/>
  <c r="A209" i="7"/>
  <c r="A207" i="7"/>
  <c r="H14" i="7"/>
  <c r="C49" i="7"/>
  <c r="D49" i="7"/>
  <c r="I49" i="7"/>
  <c r="E58" i="7"/>
  <c r="H58" i="7"/>
  <c r="D58" i="7"/>
  <c r="E70" i="7"/>
  <c r="F70" i="7"/>
  <c r="G85" i="7"/>
  <c r="I85" i="7"/>
  <c r="H85" i="7"/>
  <c r="E85" i="7"/>
  <c r="F148" i="7"/>
  <c r="D156" i="7"/>
  <c r="C163" i="7"/>
  <c r="B177" i="7"/>
  <c r="C177" i="7"/>
  <c r="H177" i="7"/>
  <c r="E177" i="7"/>
  <c r="F177" i="7"/>
  <c r="G177" i="7"/>
  <c r="D177" i="7"/>
  <c r="C2" i="7"/>
  <c r="H2" i="7"/>
  <c r="G29" i="7"/>
  <c r="I29" i="7"/>
  <c r="E29" i="7"/>
  <c r="C105" i="7"/>
  <c r="D105" i="7"/>
  <c r="I105" i="7"/>
  <c r="E121" i="7"/>
  <c r="B121" i="7"/>
  <c r="I121" i="7"/>
  <c r="H121" i="7"/>
  <c r="F121" i="7"/>
  <c r="E133" i="7"/>
  <c r="C133" i="7"/>
  <c r="I133" i="7"/>
  <c r="H133" i="7"/>
  <c r="F133" i="7"/>
  <c r="G163" i="7"/>
  <c r="D170" i="7"/>
  <c r="E170" i="7"/>
  <c r="I170" i="7"/>
  <c r="F170" i="7"/>
  <c r="C170" i="7"/>
  <c r="B170" i="7"/>
  <c r="A202" i="7"/>
  <c r="A201" i="7"/>
  <c r="B201" i="7" s="1"/>
  <c r="A200" i="7"/>
  <c r="A199" i="7"/>
  <c r="B2" i="7"/>
  <c r="E14" i="7"/>
  <c r="B29" i="7"/>
  <c r="F49" i="7"/>
  <c r="F58" i="7"/>
  <c r="F65" i="7"/>
  <c r="B65" i="7"/>
  <c r="G70" i="7"/>
  <c r="D85" i="7"/>
  <c r="E92" i="7"/>
  <c r="G92" i="7"/>
  <c r="F92" i="7"/>
  <c r="E105" i="7"/>
  <c r="C121" i="7"/>
  <c r="D133" i="7"/>
  <c r="B149" i="7"/>
  <c r="C149" i="7"/>
  <c r="H149" i="7"/>
  <c r="G149" i="7"/>
  <c r="F149" i="7"/>
  <c r="D149" i="7"/>
  <c r="H162" i="7"/>
  <c r="F162" i="7"/>
  <c r="C162" i="7"/>
  <c r="I162" i="7"/>
  <c r="G162" i="7"/>
  <c r="D162" i="7"/>
  <c r="I163" i="7"/>
  <c r="G170" i="7"/>
  <c r="B211" i="7"/>
  <c r="G211" i="7"/>
  <c r="F211" i="7"/>
  <c r="C211" i="7"/>
  <c r="E211" i="7"/>
  <c r="C128" i="7"/>
  <c r="H128" i="7"/>
  <c r="F128" i="7"/>
  <c r="D154" i="7"/>
  <c r="H154" i="7"/>
  <c r="E154" i="7"/>
  <c r="H161" i="7"/>
  <c r="E161" i="7"/>
  <c r="G161" i="7"/>
  <c r="B205" i="7"/>
  <c r="G205" i="7"/>
  <c r="C205" i="7"/>
  <c r="I205" i="7"/>
  <c r="E205" i="7"/>
  <c r="D211" i="7"/>
  <c r="G126" i="7"/>
  <c r="D126" i="7"/>
  <c r="F126" i="7"/>
  <c r="D142" i="7"/>
  <c r="C142" i="7"/>
  <c r="I142" i="7"/>
  <c r="B142" i="7"/>
  <c r="I211" i="7"/>
  <c r="E43" i="7"/>
  <c r="E71" i="7"/>
  <c r="E99" i="7"/>
  <c r="E128" i="7"/>
  <c r="E142" i="7"/>
  <c r="G154" i="7"/>
  <c r="F161" i="7"/>
  <c r="H205" i="7"/>
  <c r="H140" i="7"/>
  <c r="E140" i="7"/>
  <c r="D176" i="7"/>
  <c r="E176" i="7"/>
  <c r="H176" i="7"/>
  <c r="C176" i="7"/>
  <c r="F119" i="7"/>
  <c r="D182" i="7"/>
  <c r="E182" i="7"/>
  <c r="B183" i="7"/>
  <c r="C183" i="7"/>
  <c r="F203" i="7"/>
  <c r="C203" i="7"/>
  <c r="G203" i="7"/>
  <c r="D141" i="7"/>
  <c r="D147" i="7"/>
  <c r="G189" i="7"/>
  <c r="C189" i="7"/>
  <c r="E203" i="7"/>
  <c r="I168" i="7"/>
  <c r="I184" i="7"/>
  <c r="I190" i="7"/>
  <c r="I196" i="7"/>
  <c r="E198" i="7"/>
  <c r="E204" i="7"/>
  <c r="E210" i="7"/>
  <c r="H210" i="7"/>
  <c r="I198" i="7"/>
  <c r="I204" i="7"/>
  <c r="I210" i="7"/>
  <c r="C91" i="7" l="1"/>
  <c r="C93" i="7"/>
  <c r="C92" i="7"/>
  <c r="C86" i="7"/>
  <c r="B117" i="7"/>
  <c r="C117" i="7"/>
  <c r="C87" i="7"/>
  <c r="H87" i="7"/>
  <c r="B145" i="7"/>
  <c r="D145" i="7"/>
  <c r="H145" i="7"/>
  <c r="G53" i="7"/>
  <c r="H53" i="7"/>
  <c r="B12" i="7"/>
  <c r="C51" i="7"/>
  <c r="C44" i="7"/>
  <c r="C37" i="7"/>
  <c r="C23" i="7"/>
  <c r="C30" i="7"/>
  <c r="B54" i="7"/>
  <c r="C72" i="7"/>
  <c r="C58" i="7"/>
  <c r="C65" i="7"/>
  <c r="C79" i="7"/>
  <c r="H62" i="7"/>
  <c r="C62" i="7"/>
  <c r="C167" i="7"/>
  <c r="C132" i="7"/>
  <c r="D111" i="7"/>
  <c r="H111" i="7"/>
  <c r="B111" i="7"/>
  <c r="D167" i="7"/>
  <c r="B62" i="7"/>
  <c r="I62" i="7"/>
  <c r="C102" i="7"/>
  <c r="B102" i="7"/>
  <c r="G132" i="7"/>
  <c r="F111" i="7"/>
  <c r="H76" i="7"/>
  <c r="I102" i="7"/>
  <c r="D76" i="7"/>
  <c r="F167" i="7"/>
  <c r="E76" i="7" a="1"/>
  <c r="E76" i="7" s="1"/>
  <c r="I167" i="7"/>
  <c r="G87" i="7"/>
  <c r="F76" i="7"/>
  <c r="E102" i="7" a="1"/>
  <c r="E102" i="7" s="1"/>
  <c r="E132" i="7" a="1"/>
  <c r="E132" i="7" s="1"/>
  <c r="B167" i="7"/>
  <c r="C53" i="7"/>
  <c r="I26" i="7"/>
  <c r="G117" i="7"/>
  <c r="D62" i="7"/>
  <c r="D53" i="7"/>
  <c r="C26" i="7"/>
  <c r="E111" i="7" a="1"/>
  <c r="E111" i="7" s="1"/>
  <c r="H117" i="7"/>
  <c r="F53" i="7"/>
  <c r="D26" i="7"/>
  <c r="G111" i="7"/>
  <c r="E117" i="7" a="1"/>
  <c r="E117" i="7" s="1"/>
  <c r="H102" i="7"/>
  <c r="G62" i="7"/>
  <c r="G167" i="7"/>
  <c r="F132" i="7"/>
  <c r="G102" i="7"/>
  <c r="F62" i="7"/>
  <c r="D132" i="7"/>
  <c r="F26" i="7"/>
  <c r="I111" i="7"/>
  <c r="I117" i="7"/>
  <c r="H26" i="7"/>
  <c r="D102" i="7"/>
  <c r="E62" i="7" a="1"/>
  <c r="E62" i="7" s="1"/>
  <c r="H167" i="7"/>
  <c r="H132" i="7"/>
  <c r="C6" i="7"/>
  <c r="F6" i="7"/>
  <c r="B53" i="7"/>
  <c r="E87" i="7" a="1"/>
  <c r="E87" i="7" s="1"/>
  <c r="E6" i="7" a="1"/>
  <c r="E6" i="7" s="1"/>
  <c r="E45" i="7" a="1"/>
  <c r="E45" i="7" s="1"/>
  <c r="I53" i="7"/>
  <c r="D117" i="7"/>
  <c r="H6" i="7"/>
  <c r="G76" i="7"/>
  <c r="B45" i="7"/>
  <c r="E53" i="7" a="1"/>
  <c r="E53" i="7" s="1"/>
  <c r="C145" i="7"/>
  <c r="I87" i="7"/>
  <c r="F117" i="7"/>
  <c r="I6" i="7"/>
  <c r="I76" i="7"/>
  <c r="F45" i="7"/>
  <c r="B132" i="7"/>
  <c r="E145" i="7" a="1"/>
  <c r="E145" i="7" s="1"/>
  <c r="G6" i="7"/>
  <c r="H45" i="7"/>
  <c r="D87" i="7"/>
  <c r="B76" i="7"/>
  <c r="I45" i="7"/>
  <c r="I145" i="7"/>
  <c r="G26" i="7"/>
  <c r="B26" i="7"/>
  <c r="F87" i="7"/>
  <c r="D45" i="7"/>
  <c r="F145" i="7"/>
  <c r="B87" i="7"/>
  <c r="C45" i="7"/>
  <c r="D6" i="7"/>
  <c r="G145" i="7"/>
  <c r="C19" i="7"/>
  <c r="D19" i="7"/>
  <c r="H19" i="7"/>
  <c r="E19" i="7" a="1"/>
  <c r="E19" i="7" s="1"/>
  <c r="G19" i="7"/>
  <c r="F19" i="7"/>
  <c r="I19" i="7"/>
  <c r="C9" i="7"/>
  <c r="C14" i="7"/>
  <c r="C16" i="7"/>
  <c r="C8" i="7"/>
  <c r="C15" i="7"/>
  <c r="H52" i="7"/>
  <c r="E52" i="7" a="1"/>
  <c r="E52" i="7" s="1"/>
  <c r="B52" i="7"/>
  <c r="C52" i="7"/>
  <c r="D52" i="7"/>
  <c r="F52" i="7"/>
  <c r="I52" i="7"/>
  <c r="E67" i="7" a="1"/>
  <c r="E67" i="7" s="1"/>
  <c r="C67" i="7"/>
  <c r="H67" i="7"/>
  <c r="D67" i="7"/>
  <c r="B67" i="7"/>
  <c r="I67" i="7"/>
  <c r="G67" i="7"/>
  <c r="F67" i="7"/>
  <c r="I199" i="7"/>
  <c r="B199" i="7"/>
  <c r="F199" i="7"/>
  <c r="C199" i="7"/>
  <c r="G199" i="7"/>
  <c r="D199" i="7"/>
  <c r="H199" i="7"/>
  <c r="E199" i="7" a="1"/>
  <c r="E199" i="7" s="1"/>
  <c r="E194" i="7" a="1"/>
  <c r="E194" i="7" s="1"/>
  <c r="C194" i="7"/>
  <c r="F194" i="7"/>
  <c r="H194" i="7"/>
  <c r="D194" i="7"/>
  <c r="I194" i="7"/>
  <c r="G194" i="7"/>
  <c r="F101" i="7"/>
  <c r="B101" i="7"/>
  <c r="I101" i="7"/>
  <c r="G101" i="7"/>
  <c r="E101" i="7" a="1"/>
  <c r="E101" i="7" s="1"/>
  <c r="C101" i="7"/>
  <c r="D101" i="7"/>
  <c r="H101" i="7"/>
  <c r="F200" i="7"/>
  <c r="D200" i="7"/>
  <c r="G200" i="7"/>
  <c r="H200" i="7"/>
  <c r="E200" i="7" a="1"/>
  <c r="E200" i="7" s="1"/>
  <c r="I200" i="7"/>
  <c r="C200" i="7"/>
  <c r="B200" i="7"/>
  <c r="F209" i="7"/>
  <c r="D209" i="7"/>
  <c r="C209" i="7"/>
  <c r="G209" i="7"/>
  <c r="I209" i="7"/>
  <c r="E209" i="7" a="1"/>
  <c r="E209" i="7" s="1"/>
  <c r="B209" i="7"/>
  <c r="H209" i="7"/>
  <c r="F181" i="7"/>
  <c r="G181" i="7"/>
  <c r="B181" i="7"/>
  <c r="C181" i="7"/>
  <c r="H181" i="7"/>
  <c r="E181" i="7" a="1"/>
  <c r="E181" i="7" s="1"/>
  <c r="D181" i="7"/>
  <c r="I181" i="7"/>
  <c r="G88" i="7"/>
  <c r="D88" i="7"/>
  <c r="C88" i="7"/>
  <c r="I88" i="7"/>
  <c r="B88" i="7"/>
  <c r="H88" i="7"/>
  <c r="F88" i="7"/>
  <c r="E88" i="7" a="1"/>
  <c r="E88" i="7" s="1"/>
  <c r="I109" i="7"/>
  <c r="B109" i="7"/>
  <c r="F109" i="7"/>
  <c r="E109" i="7" a="1"/>
  <c r="E109" i="7" s="1"/>
  <c r="D109" i="7"/>
  <c r="C109" i="7"/>
  <c r="G109" i="7"/>
  <c r="H109" i="7"/>
  <c r="H165" i="7"/>
  <c r="C165" i="7"/>
  <c r="G165" i="7"/>
  <c r="B165" i="7"/>
  <c r="D165" i="7"/>
  <c r="F165" i="7"/>
  <c r="E165" i="7" a="1"/>
  <c r="E165" i="7" s="1"/>
  <c r="I165" i="7"/>
  <c r="G69" i="7"/>
  <c r="F69" i="7"/>
  <c r="D69" i="7"/>
  <c r="C69" i="7"/>
  <c r="I69" i="7"/>
  <c r="H69" i="7"/>
  <c r="E69" i="7" a="1"/>
  <c r="E69" i="7" s="1"/>
  <c r="B69" i="7"/>
  <c r="I171" i="7"/>
  <c r="B171" i="7"/>
  <c r="C171" i="7"/>
  <c r="H171" i="7"/>
  <c r="E171" i="7" a="1"/>
  <c r="E171" i="7" s="1"/>
  <c r="G171" i="7"/>
  <c r="F171" i="7"/>
  <c r="D171" i="7"/>
  <c r="E185" i="7" a="1"/>
  <c r="E185" i="7" s="1"/>
  <c r="F185" i="7"/>
  <c r="D185" i="7"/>
  <c r="I185" i="7"/>
  <c r="G185" i="7"/>
  <c r="B185" i="7"/>
  <c r="H185" i="7"/>
  <c r="C185" i="7"/>
  <c r="C96" i="7"/>
  <c r="I96" i="7"/>
  <c r="H96" i="7"/>
  <c r="F96" i="7"/>
  <c r="G96" i="7"/>
  <c r="E96" i="7" a="1"/>
  <c r="E96" i="7" s="1"/>
  <c r="D96" i="7"/>
  <c r="C59" i="7"/>
  <c r="F59" i="7"/>
  <c r="D59" i="7"/>
  <c r="G59" i="7"/>
  <c r="E59" i="7" a="1"/>
  <c r="E59" i="7" s="1"/>
  <c r="B59" i="7"/>
  <c r="I59" i="7"/>
  <c r="H59" i="7"/>
  <c r="I18" i="7"/>
  <c r="B18" i="7"/>
  <c r="F18" i="7"/>
  <c r="D18" i="7"/>
  <c r="C18" i="7"/>
  <c r="H18" i="7"/>
  <c r="G18" i="7"/>
  <c r="E18" i="7" a="1"/>
  <c r="E18" i="7" s="1"/>
  <c r="H174" i="7"/>
  <c r="I174" i="7"/>
  <c r="B174" i="7"/>
  <c r="F174" i="7"/>
  <c r="D174" i="7"/>
  <c r="G174" i="7"/>
  <c r="E174" i="7" a="1"/>
  <c r="E174" i="7" s="1"/>
  <c r="C174" i="7"/>
  <c r="F136" i="7"/>
  <c r="D136" i="7"/>
  <c r="I136" i="7"/>
  <c r="H136" i="7"/>
  <c r="E136" i="7" a="1"/>
  <c r="E136" i="7" s="1"/>
  <c r="G136" i="7"/>
  <c r="B136" i="7"/>
  <c r="C136" i="7"/>
  <c r="H24" i="7"/>
  <c r="E24" i="7" a="1"/>
  <c r="E24" i="7" s="1"/>
  <c r="B24" i="7"/>
  <c r="I24" i="7"/>
  <c r="G24" i="7"/>
  <c r="F24" i="7"/>
  <c r="C24" i="7"/>
  <c r="D24" i="7"/>
  <c r="D192" i="7"/>
  <c r="H192" i="7"/>
  <c r="E192" i="7" a="1"/>
  <c r="E192" i="7" s="1"/>
  <c r="G192" i="7"/>
  <c r="F192" i="7"/>
  <c r="C192" i="7"/>
  <c r="I192" i="7"/>
  <c r="B192" i="7"/>
  <c r="H103" i="7"/>
  <c r="F103" i="7"/>
  <c r="E103" i="7" a="1"/>
  <c r="E103" i="7" s="1"/>
  <c r="D103" i="7"/>
  <c r="G103" i="7"/>
  <c r="I103" i="7"/>
  <c r="C103" i="7"/>
  <c r="E166" i="7" a="1"/>
  <c r="E166" i="7" s="1"/>
  <c r="F166" i="7"/>
  <c r="G166" i="7"/>
  <c r="C166" i="7"/>
  <c r="H166" i="7"/>
  <c r="I166" i="7"/>
  <c r="D166" i="7"/>
  <c r="E188" i="7" a="1"/>
  <c r="E188" i="7" s="1"/>
  <c r="B188" i="7"/>
  <c r="H188" i="7"/>
  <c r="G188" i="7"/>
  <c r="F188" i="7"/>
  <c r="C188" i="7"/>
  <c r="D188" i="7"/>
  <c r="I188" i="7"/>
  <c r="I180" i="7"/>
  <c r="C180" i="7"/>
  <c r="F180" i="7"/>
  <c r="D180" i="7"/>
  <c r="G180" i="7"/>
  <c r="E180" i="7" a="1"/>
  <c r="E180" i="7" s="1"/>
  <c r="H180" i="7"/>
  <c r="G60" i="7"/>
  <c r="D60" i="7"/>
  <c r="I60" i="7"/>
  <c r="F60" i="7"/>
  <c r="E60" i="7" a="1"/>
  <c r="E60" i="7" s="1"/>
  <c r="C60" i="7"/>
  <c r="B60" i="7"/>
  <c r="H60" i="7"/>
  <c r="C139" i="7"/>
  <c r="G139" i="7"/>
  <c r="H139" i="7"/>
  <c r="B139" i="7"/>
  <c r="I139" i="7"/>
  <c r="F139" i="7"/>
  <c r="E139" i="7" a="1"/>
  <c r="E139" i="7" s="1"/>
  <c r="D139" i="7"/>
  <c r="I25" i="7"/>
  <c r="B25" i="7"/>
  <c r="F25" i="7"/>
  <c r="D25" i="7"/>
  <c r="C25" i="7"/>
  <c r="H25" i="7"/>
  <c r="G25" i="7"/>
  <c r="E25" i="7" a="1"/>
  <c r="E25" i="7" s="1"/>
  <c r="H193" i="7"/>
  <c r="E193" i="7" a="1"/>
  <c r="E193" i="7" s="1"/>
  <c r="I193" i="7"/>
  <c r="B193" i="7"/>
  <c r="F193" i="7"/>
  <c r="C193" i="7"/>
  <c r="G193" i="7"/>
  <c r="D193" i="7"/>
  <c r="E48" i="7" a="1"/>
  <c r="E48" i="7" s="1"/>
  <c r="B48" i="7"/>
  <c r="F48" i="7"/>
  <c r="D48" i="7"/>
  <c r="I48" i="7"/>
  <c r="H48" i="7"/>
  <c r="C48" i="7"/>
  <c r="G48" i="7"/>
  <c r="E13" i="7" a="1"/>
  <c r="E13" i="7" s="1"/>
  <c r="C13" i="7"/>
  <c r="F13" i="7"/>
  <c r="B13" i="7"/>
  <c r="I13" i="7"/>
  <c r="H13" i="7"/>
  <c r="G13" i="7"/>
  <c r="D13" i="7"/>
  <c r="H146" i="7"/>
  <c r="E146" i="7" a="1"/>
  <c r="E146" i="7" s="1"/>
  <c r="C146" i="7"/>
  <c r="G146" i="7"/>
  <c r="B146" i="7"/>
  <c r="D146" i="7"/>
  <c r="I146" i="7"/>
  <c r="F146" i="7"/>
  <c r="D164" i="7"/>
  <c r="I164" i="7"/>
  <c r="B164" i="7"/>
  <c r="H164" i="7"/>
  <c r="G164" i="7"/>
  <c r="F164" i="7"/>
  <c r="E164" i="7" a="1"/>
  <c r="E164" i="7" s="1"/>
  <c r="C164" i="7"/>
  <c r="I115" i="7"/>
  <c r="B115" i="7"/>
  <c r="D115" i="7"/>
  <c r="G115" i="7"/>
  <c r="F115" i="7"/>
  <c r="C115" i="7"/>
  <c r="E115" i="7" a="1"/>
  <c r="E115" i="7" s="1"/>
  <c r="H115" i="7"/>
  <c r="E104" i="7" a="1"/>
  <c r="E104" i="7" s="1"/>
  <c r="D104" i="7"/>
  <c r="B104" i="7"/>
  <c r="I104" i="7"/>
  <c r="H104" i="7"/>
  <c r="C104" i="7"/>
  <c r="F104" i="7"/>
  <c r="G104" i="7"/>
  <c r="I90" i="7"/>
  <c r="B90" i="7"/>
  <c r="H90" i="7"/>
  <c r="G90" i="7"/>
  <c r="E90" i="7" a="1"/>
  <c r="E90" i="7" s="1"/>
  <c r="F90" i="7"/>
  <c r="C90" i="7"/>
  <c r="D90" i="7"/>
  <c r="G61" i="7"/>
  <c r="H61" i="7"/>
  <c r="F61" i="7"/>
  <c r="D61" i="7"/>
  <c r="C61" i="7"/>
  <c r="I61" i="7"/>
  <c r="E61" i="7" a="1"/>
  <c r="E61" i="7" s="1"/>
  <c r="D173" i="7"/>
  <c r="G173" i="7"/>
  <c r="C173" i="7"/>
  <c r="E173" i="7" a="1"/>
  <c r="E173" i="7" s="1"/>
  <c r="H173" i="7"/>
  <c r="F173" i="7"/>
  <c r="I173" i="7"/>
  <c r="D201" i="7"/>
  <c r="H201" i="7"/>
  <c r="I201" i="7"/>
  <c r="E201" i="7" a="1"/>
  <c r="E201" i="7" s="1"/>
  <c r="C201" i="7"/>
  <c r="G201" i="7"/>
  <c r="F201" i="7"/>
  <c r="C68" i="7"/>
  <c r="I68" i="7"/>
  <c r="F68" i="7"/>
  <c r="D68" i="7"/>
  <c r="H68" i="7"/>
  <c r="G68" i="7"/>
  <c r="E68" i="7" a="1"/>
  <c r="E68" i="7" s="1"/>
  <c r="H202" i="7"/>
  <c r="E202" i="7" a="1"/>
  <c r="E202" i="7" s="1"/>
  <c r="I202" i="7"/>
  <c r="B202" i="7"/>
  <c r="D202" i="7"/>
  <c r="C202" i="7"/>
  <c r="F202" i="7"/>
  <c r="G202" i="7"/>
  <c r="E179" i="7" a="1"/>
  <c r="E179" i="7" s="1"/>
  <c r="G179" i="7"/>
  <c r="C179" i="7"/>
  <c r="I179" i="7"/>
  <c r="H179" i="7"/>
  <c r="D179" i="7"/>
  <c r="B179" i="7"/>
  <c r="F179" i="7"/>
  <c r="D46" i="7"/>
  <c r="H46" i="7"/>
  <c r="E46" i="7" a="1"/>
  <c r="E46" i="7" s="1"/>
  <c r="C46" i="7"/>
  <c r="B46" i="7"/>
  <c r="I46" i="7"/>
  <c r="F46" i="7"/>
  <c r="G46" i="7"/>
  <c r="D137" i="7"/>
  <c r="H137" i="7"/>
  <c r="I137" i="7"/>
  <c r="G137" i="7"/>
  <c r="E137" i="7" a="1"/>
  <c r="E137" i="7" s="1"/>
  <c r="C137" i="7"/>
  <c r="F137" i="7"/>
  <c r="B137" i="7"/>
  <c r="C158" i="7"/>
  <c r="E158" i="7" a="1"/>
  <c r="E158" i="7" s="1"/>
  <c r="B158" i="7"/>
  <c r="F158" i="7"/>
  <c r="H158" i="7"/>
  <c r="I158" i="7"/>
  <c r="G158" i="7"/>
  <c r="D158" i="7"/>
  <c r="H47" i="7"/>
  <c r="F47" i="7"/>
  <c r="D47" i="7"/>
  <c r="C47" i="7"/>
  <c r="G47" i="7"/>
  <c r="I47" i="7"/>
  <c r="E47" i="7" a="1"/>
  <c r="E47" i="7" s="1"/>
  <c r="D11" i="7"/>
  <c r="H11" i="7"/>
  <c r="F11" i="7"/>
  <c r="E11" i="7" a="1"/>
  <c r="E11" i="7" s="1"/>
  <c r="C11" i="7"/>
  <c r="I11" i="7"/>
  <c r="G11" i="7"/>
  <c r="B11" i="7"/>
  <c r="C122" i="7"/>
  <c r="G122" i="7"/>
  <c r="H122" i="7"/>
  <c r="I122" i="7"/>
  <c r="E122" i="7" a="1"/>
  <c r="E122" i="7" s="1"/>
  <c r="F122" i="7"/>
  <c r="B122" i="7"/>
  <c r="D122" i="7"/>
  <c r="H129" i="7"/>
  <c r="E129" i="7" a="1"/>
  <c r="E129" i="7" s="1"/>
  <c r="F129" i="7"/>
  <c r="G129" i="7"/>
  <c r="C129" i="7"/>
  <c r="D129" i="7"/>
  <c r="B129" i="7"/>
  <c r="I129" i="7"/>
  <c r="G123" i="7"/>
  <c r="F123" i="7"/>
  <c r="I123" i="7"/>
  <c r="E123" i="7" a="1"/>
  <c r="E123" i="7" s="1"/>
  <c r="D123" i="7"/>
  <c r="C123" i="7"/>
  <c r="H123" i="7"/>
  <c r="B123" i="7"/>
  <c r="D118" i="7"/>
  <c r="H118" i="7"/>
  <c r="I118" i="7"/>
  <c r="F118" i="7"/>
  <c r="E118" i="7" a="1"/>
  <c r="E118" i="7" s="1"/>
  <c r="C118" i="7"/>
  <c r="B118" i="7"/>
  <c r="G118" i="7"/>
  <c r="I89" i="7"/>
  <c r="G89" i="7"/>
  <c r="E89" i="7" a="1"/>
  <c r="E89" i="7" s="1"/>
  <c r="D89" i="7"/>
  <c r="F89" i="7"/>
  <c r="C89" i="7"/>
  <c r="H89" i="7"/>
  <c r="G187" i="7"/>
  <c r="H187" i="7"/>
  <c r="C187" i="7"/>
  <c r="I187" i="7"/>
  <c r="F187" i="7"/>
  <c r="D187" i="7"/>
  <c r="E187" i="7" a="1"/>
  <c r="E187" i="7" s="1"/>
  <c r="G33" i="7"/>
  <c r="F33" i="7"/>
  <c r="E33" i="7" a="1"/>
  <c r="E33" i="7" s="1"/>
  <c r="C33" i="7"/>
  <c r="D33" i="7"/>
  <c r="I33" i="7"/>
  <c r="H33" i="7"/>
  <c r="E39" i="7" a="1"/>
  <c r="E39" i="7" s="1"/>
  <c r="C39" i="7"/>
  <c r="H39" i="7"/>
  <c r="B39" i="7"/>
  <c r="I39" i="7"/>
  <c r="G39" i="7"/>
  <c r="D39" i="7"/>
  <c r="F39" i="7"/>
  <c r="G178" i="7"/>
  <c r="H178" i="7"/>
  <c r="F178" i="7"/>
  <c r="D178" i="7"/>
  <c r="I178" i="7"/>
  <c r="B178" i="7"/>
  <c r="E178" i="7" a="1"/>
  <c r="E178" i="7" s="1"/>
  <c r="C178" i="7"/>
  <c r="I34" i="7"/>
  <c r="B34" i="7"/>
  <c r="H34" i="7"/>
  <c r="E34" i="7" a="1"/>
  <c r="E34" i="7" s="1"/>
  <c r="F34" i="7"/>
  <c r="C34" i="7"/>
  <c r="G34" i="7"/>
  <c r="D34" i="7"/>
  <c r="H108" i="7"/>
  <c r="G108" i="7"/>
  <c r="E108" i="7" a="1"/>
  <c r="E108" i="7" s="1"/>
  <c r="B108" i="7"/>
  <c r="I108" i="7"/>
  <c r="F108" i="7"/>
  <c r="D108" i="7"/>
  <c r="C108" i="7"/>
  <c r="G151" i="7"/>
  <c r="D151" i="7"/>
  <c r="I151" i="7"/>
  <c r="F151" i="7"/>
  <c r="B151" i="7"/>
  <c r="E151" i="7" a="1"/>
  <c r="E151" i="7" s="1"/>
  <c r="C151" i="7"/>
  <c r="H151" i="7"/>
  <c r="C40" i="7"/>
  <c r="I40" i="7"/>
  <c r="F40" i="7"/>
  <c r="D40" i="7"/>
  <c r="H40" i="7"/>
  <c r="G40" i="7"/>
  <c r="E40" i="7" a="1"/>
  <c r="E40" i="7" s="1"/>
  <c r="E4" i="7" a="1"/>
  <c r="E4" i="7" s="1"/>
  <c r="C4" i="7"/>
  <c r="B4" i="7"/>
  <c r="H4" i="7"/>
  <c r="D4" i="7"/>
  <c r="I4" i="7"/>
  <c r="G4" i="7"/>
  <c r="F4" i="7"/>
  <c r="E138" i="7" a="1"/>
  <c r="E138" i="7" s="1"/>
  <c r="I138" i="7"/>
  <c r="F138" i="7"/>
  <c r="H138" i="7"/>
  <c r="D138" i="7"/>
  <c r="C138" i="7"/>
  <c r="G138" i="7"/>
  <c r="E157" i="7" a="1"/>
  <c r="E157" i="7" s="1"/>
  <c r="G157" i="7"/>
  <c r="D157" i="7"/>
  <c r="I157" i="7"/>
  <c r="F157" i="7"/>
  <c r="B157" i="7"/>
  <c r="C157" i="7"/>
  <c r="H157" i="7"/>
  <c r="H12" i="7"/>
  <c r="E12" i="7" a="1"/>
  <c r="E12" i="7" s="1"/>
  <c r="F12" i="7"/>
  <c r="C12" i="7"/>
  <c r="D12" i="7"/>
  <c r="G12" i="7"/>
  <c r="I12" i="7"/>
  <c r="I124" i="7"/>
  <c r="F124" i="7"/>
  <c r="G124" i="7"/>
  <c r="H124" i="7"/>
  <c r="D124" i="7"/>
  <c r="C124" i="7"/>
  <c r="E124" i="7" a="1"/>
  <c r="E124" i="7" s="1"/>
  <c r="H75" i="7"/>
  <c r="F75" i="7"/>
  <c r="E75" i="7" a="1"/>
  <c r="E75" i="7" s="1"/>
  <c r="D75" i="7"/>
  <c r="I75" i="7"/>
  <c r="G75" i="7"/>
  <c r="C75" i="7"/>
  <c r="G150" i="7"/>
  <c r="I150" i="7"/>
  <c r="E150" i="7" a="1"/>
  <c r="E150" i="7" s="1"/>
  <c r="H150" i="7"/>
  <c r="F150" i="7"/>
  <c r="D150" i="7"/>
  <c r="C150" i="7"/>
  <c r="B150" i="7"/>
  <c r="C195" i="7"/>
  <c r="G195" i="7"/>
  <c r="D195" i="7"/>
  <c r="H195" i="7"/>
  <c r="F195" i="7"/>
  <c r="I195" i="7"/>
  <c r="B195" i="7"/>
  <c r="E195" i="7" a="1"/>
  <c r="E195" i="7" s="1"/>
  <c r="I207" i="7"/>
  <c r="B207" i="7"/>
  <c r="E207" i="7" a="1"/>
  <c r="E207" i="7" s="1"/>
  <c r="G207" i="7"/>
  <c r="F207" i="7"/>
  <c r="C207" i="7"/>
  <c r="H207" i="7"/>
  <c r="D207" i="7"/>
  <c r="G97" i="7"/>
  <c r="F97" i="7"/>
  <c r="E97" i="7" a="1"/>
  <c r="E97" i="7" s="1"/>
  <c r="D97" i="7"/>
  <c r="B97" i="7"/>
  <c r="I97" i="7"/>
  <c r="H97" i="7"/>
  <c r="C97" i="7"/>
  <c r="H94" i="7"/>
  <c r="D94" i="7"/>
  <c r="B94" i="7"/>
  <c r="I94" i="7"/>
  <c r="G94" i="7"/>
  <c r="E94" i="7" a="1"/>
  <c r="E94" i="7" s="1"/>
  <c r="C94" i="7"/>
  <c r="F94" i="7"/>
  <c r="I143" i="7"/>
  <c r="B143" i="7"/>
  <c r="C143" i="7"/>
  <c r="G143" i="7"/>
  <c r="F143" i="7"/>
  <c r="E143" i="7" a="1"/>
  <c r="E143" i="7" s="1"/>
  <c r="H143" i="7"/>
  <c r="D143" i="7"/>
  <c r="C31" i="7"/>
  <c r="F31" i="7"/>
  <c r="D31" i="7"/>
  <c r="E31" i="7" a="1"/>
  <c r="E31" i="7" s="1"/>
  <c r="G31" i="7"/>
  <c r="B31" i="7"/>
  <c r="I31" i="7"/>
  <c r="H31" i="7"/>
  <c r="F73" i="7"/>
  <c r="B73" i="7"/>
  <c r="G73" i="7"/>
  <c r="D73" i="7"/>
  <c r="H73" i="7"/>
  <c r="E73" i="7" a="1"/>
  <c r="E73" i="7" s="1"/>
  <c r="C73" i="7"/>
  <c r="I73" i="7"/>
  <c r="G41" i="7"/>
  <c r="F41" i="7"/>
  <c r="D41" i="7"/>
  <c r="C41" i="7"/>
  <c r="B41" i="7"/>
  <c r="I41" i="7"/>
  <c r="E41" i="7" a="1"/>
  <c r="E41" i="7" s="1"/>
  <c r="H41" i="7"/>
  <c r="C131" i="7"/>
  <c r="G131" i="7"/>
  <c r="H131" i="7"/>
  <c r="F131" i="7"/>
  <c r="D131" i="7"/>
  <c r="I131" i="7"/>
  <c r="E131" i="7" a="1"/>
  <c r="E131" i="7" s="1"/>
  <c r="E20" i="7" a="1"/>
  <c r="E20" i="7" s="1"/>
  <c r="B20" i="7"/>
  <c r="D20" i="7"/>
  <c r="C20" i="7"/>
  <c r="I20" i="7"/>
  <c r="H20" i="7"/>
  <c r="G20" i="7"/>
  <c r="F20" i="7"/>
  <c r="I152" i="7"/>
  <c r="E152" i="7" a="1"/>
  <c r="E152" i="7" s="1"/>
  <c r="C152" i="7"/>
  <c r="H152" i="7"/>
  <c r="G152" i="7"/>
  <c r="F152" i="7"/>
  <c r="D152" i="7"/>
  <c r="H38" i="7"/>
  <c r="B38" i="7"/>
  <c r="C38" i="7"/>
  <c r="I38" i="7"/>
  <c r="G38" i="7"/>
  <c r="F38" i="7"/>
  <c r="E38" i="7" a="1"/>
  <c r="E38" i="7" s="1"/>
  <c r="D38" i="7"/>
  <c r="C5" i="7"/>
  <c r="G5" i="7"/>
  <c r="I5" i="7"/>
  <c r="F5" i="7"/>
  <c r="E5" i="7" a="1"/>
  <c r="E5" i="7" s="1"/>
  <c r="D5" i="7"/>
  <c r="H5" i="7"/>
  <c r="F82" i="7"/>
  <c r="D82" i="7"/>
  <c r="E82" i="7" a="1"/>
  <c r="E82" i="7" s="1"/>
  <c r="C82" i="7"/>
  <c r="I82" i="7"/>
  <c r="H82" i="7"/>
  <c r="G82" i="7"/>
  <c r="H80" i="7"/>
  <c r="G80" i="7"/>
  <c r="E80" i="7" a="1"/>
  <c r="E80" i="7" s="1"/>
  <c r="F80" i="7"/>
  <c r="D80" i="7"/>
  <c r="I80" i="7"/>
  <c r="C80" i="7"/>
  <c r="B80" i="7"/>
  <c r="G159" i="7"/>
  <c r="C159" i="7"/>
  <c r="H159" i="7"/>
  <c r="I159" i="7"/>
  <c r="F159" i="7"/>
  <c r="E159" i="7" a="1"/>
  <c r="E159" i="7" s="1"/>
  <c r="D159" i="7"/>
  <c r="I125" i="7"/>
  <c r="B125" i="7"/>
  <c r="F125" i="7"/>
  <c r="E125" i="7" a="1"/>
  <c r="E125" i="7" s="1"/>
  <c r="H125" i="7"/>
  <c r="D125" i="7"/>
  <c r="C125" i="7"/>
  <c r="G125" i="7"/>
  <c r="D55" i="7"/>
  <c r="C55" i="7"/>
  <c r="H55" i="7"/>
  <c r="E55" i="7" a="1"/>
  <c r="E55" i="7" s="1"/>
  <c r="I55" i="7"/>
  <c r="G55" i="7"/>
  <c r="F55" i="7"/>
  <c r="B55" i="7"/>
  <c r="C186" i="7"/>
  <c r="D186" i="7"/>
  <c r="I186" i="7"/>
  <c r="F186" i="7"/>
  <c r="H186" i="7"/>
  <c r="G186" i="7"/>
  <c r="B186" i="7"/>
  <c r="E186" i="7" a="1"/>
  <c r="E186" i="7" s="1"/>
  <c r="I81" i="7"/>
  <c r="B81" i="7"/>
  <c r="F81" i="7"/>
  <c r="E81" i="7" a="1"/>
  <c r="E81" i="7" s="1"/>
  <c r="D81" i="7"/>
  <c r="H81" i="7"/>
  <c r="C81" i="7"/>
  <c r="G81" i="7"/>
  <c r="I208" i="7"/>
  <c r="F208" i="7"/>
  <c r="E208" i="7" a="1"/>
  <c r="E208" i="7" s="1"/>
  <c r="C208" i="7"/>
  <c r="H208" i="7"/>
  <c r="D208" i="7"/>
  <c r="G208" i="7"/>
  <c r="D27" i="7"/>
  <c r="C27" i="7"/>
  <c r="H27" i="7"/>
  <c r="B27" i="7"/>
  <c r="I27" i="7"/>
  <c r="F27" i="7"/>
  <c r="E27" i="7" a="1"/>
  <c r="E27" i="7" s="1"/>
  <c r="G27" i="7"/>
  <c r="E95" i="7" a="1"/>
  <c r="E95" i="7" s="1"/>
  <c r="C95" i="7"/>
  <c r="B95" i="7"/>
  <c r="H95" i="7"/>
  <c r="I95" i="7"/>
  <c r="F95" i="7"/>
  <c r="D95" i="7"/>
  <c r="G95" i="7"/>
  <c r="G206" i="7"/>
  <c r="H206" i="7"/>
  <c r="E206" i="7" a="1"/>
  <c r="E206" i="7" s="1"/>
  <c r="C206" i="7"/>
  <c r="I206" i="7"/>
  <c r="F206" i="7"/>
  <c r="D206" i="7"/>
  <c r="B206" i="7"/>
  <c r="I17" i="7"/>
  <c r="B17" i="7"/>
  <c r="D17" i="7"/>
  <c r="C17" i="7"/>
  <c r="H17" i="7"/>
  <c r="F17" i="7"/>
  <c r="E17" i="7" a="1"/>
  <c r="E17" i="7" s="1"/>
  <c r="G17" i="7"/>
  <c r="F110" i="7"/>
  <c r="D110" i="7"/>
  <c r="H110" i="7"/>
  <c r="G110" i="7"/>
  <c r="C110" i="7"/>
  <c r="E110" i="7" a="1"/>
  <c r="E110" i="7" s="1"/>
  <c r="I110" i="7"/>
  <c r="H66" i="7"/>
  <c r="B66" i="7"/>
  <c r="D66" i="7"/>
  <c r="C66" i="7"/>
  <c r="I66" i="7"/>
  <c r="G66" i="7"/>
  <c r="F66" i="7"/>
  <c r="E66" i="7" a="1"/>
  <c r="E66" i="7" s="1"/>
  <c r="F144" i="7"/>
  <c r="I144" i="7"/>
  <c r="E144" i="7" a="1"/>
  <c r="E144" i="7" s="1"/>
  <c r="H144" i="7"/>
  <c r="D144" i="7"/>
  <c r="G144" i="7"/>
  <c r="B144" i="7"/>
  <c r="C144" i="7"/>
  <c r="G32" i="7"/>
  <c r="D32" i="7"/>
  <c r="I32" i="7"/>
  <c r="E32" i="7" a="1"/>
  <c r="E32" i="7" s="1"/>
  <c r="B32" i="7"/>
  <c r="H32" i="7"/>
  <c r="F32" i="7"/>
  <c r="C32" i="7"/>
  <c r="D74" i="7"/>
  <c r="H74" i="7"/>
  <c r="G74" i="7"/>
  <c r="E74" i="7" a="1"/>
  <c r="E74" i="7" s="1"/>
  <c r="C74" i="7"/>
  <c r="I74" i="7"/>
  <c r="B74" i="7"/>
  <c r="F74" i="7"/>
  <c r="F172" i="7"/>
  <c r="G172" i="7"/>
  <c r="H172" i="7"/>
  <c r="D172" i="7"/>
  <c r="B172" i="7"/>
  <c r="E172" i="7" a="1"/>
  <c r="E172" i="7" s="1"/>
  <c r="C172" i="7"/>
  <c r="I172" i="7"/>
  <c r="F54" i="7"/>
  <c r="E54" i="7" a="1"/>
  <c r="E54" i="7" s="1"/>
  <c r="D54" i="7"/>
  <c r="C54" i="7"/>
  <c r="I54" i="7"/>
  <c r="G54" i="7"/>
  <c r="H54" i="7"/>
  <c r="E130" i="7" a="1"/>
  <c r="E130" i="7" s="1"/>
  <c r="C130" i="7"/>
  <c r="F130" i="7"/>
  <c r="H130" i="7"/>
  <c r="G130" i="7"/>
  <c r="D130" i="7"/>
  <c r="B130" i="7"/>
  <c r="I130" i="7"/>
  <c r="F153" i="7"/>
  <c r="D153" i="7"/>
  <c r="I153" i="7"/>
  <c r="C153" i="7"/>
  <c r="B153" i="7"/>
  <c r="H153" i="7"/>
  <c r="G153" i="7"/>
  <c r="E153" i="7" a="1"/>
  <c r="E153" i="7" s="1"/>
  <c r="F116" i="7"/>
  <c r="B116" i="7"/>
  <c r="G116" i="7"/>
  <c r="E116" i="7" a="1"/>
  <c r="E116" i="7" s="1"/>
  <c r="D116" i="7"/>
  <c r="I116" i="7"/>
  <c r="H116" i="7"/>
  <c r="C116" i="7"/>
  <c r="H3" i="7"/>
  <c r="E3" i="7" a="1"/>
  <c r="E3" i="7" s="1"/>
  <c r="C3" i="7"/>
  <c r="B3" i="7"/>
  <c r="I3" i="7"/>
  <c r="G3" i="7"/>
  <c r="F3" i="7"/>
  <c r="D3" i="7"/>
  <c r="F10" i="7"/>
  <c r="D10" i="7"/>
  <c r="G10" i="7"/>
  <c r="E10" i="7" a="1"/>
  <c r="E10" i="7" s="1"/>
  <c r="C10" i="7"/>
  <c r="I10" i="7"/>
  <c r="H10" i="7"/>
  <c r="B10" i="7"/>
  <c r="D83" i="7"/>
  <c r="C83" i="7"/>
  <c r="B83" i="7"/>
  <c r="H83" i="7"/>
  <c r="F83" i="7"/>
  <c r="E83" i="7" a="1"/>
  <c r="E83" i="7" s="1"/>
  <c r="I83" i="7"/>
  <c r="G83" i="7"/>
  <c r="I160" i="7"/>
  <c r="F160" i="7"/>
  <c r="E160" i="7" a="1"/>
  <c r="E160" i="7" s="1"/>
  <c r="C160" i="7"/>
  <c r="B160" i="7"/>
  <c r="G160" i="7"/>
  <c r="D160" i="7"/>
  <c r="H160" i="7"/>
</calcChain>
</file>

<file path=xl/sharedStrings.xml><?xml version="1.0" encoding="utf-8"?>
<sst xmlns="http://schemas.openxmlformats.org/spreadsheetml/2006/main" count="344" uniqueCount="317">
  <si>
    <t>1. Partheland-Cup – Vereins-Anmeldeformular</t>
  </si>
  <si>
    <t>Ja</t>
  </si>
  <si>
    <t>Nein</t>
  </si>
  <si>
    <t>Verein</t>
  </si>
  <si>
    <t>Ansprechpartner/in</t>
  </si>
  <si>
    <t>Telefon</t>
  </si>
  <si>
    <t>Zusammenfassung Anmeldung</t>
  </si>
  <si>
    <t>Wert</t>
  </si>
  <si>
    <t>E-Mail</t>
  </si>
  <si>
    <t>Datum</t>
  </si>
  <si>
    <t>Anzahl Starter/innen</t>
  </si>
  <si>
    <t>Status OK</t>
  </si>
  <si>
    <t>Turniertagsprüfung</t>
  </si>
  <si>
    <t>siehe Blatt Turniertag-Prüfung</t>
  </si>
  <si>
    <t>Nr.</t>
  </si>
  <si>
    <t>Nachname</t>
  </si>
  <si>
    <t>Vorname</t>
  </si>
  <si>
    <t>Geschlecht</t>
  </si>
  <si>
    <t>Poomsae Einzel</t>
  </si>
  <si>
    <t>Poomsae Paar</t>
  </si>
  <si>
    <t>Poomsae Team</t>
  </si>
  <si>
    <t>Poomsae Family</t>
  </si>
  <si>
    <t>Einschrittkampf</t>
  </si>
  <si>
    <t>Bruchtest</t>
  </si>
  <si>
    <t>Speed-Kicking</t>
  </si>
  <si>
    <t>Paar: Partner/in</t>
  </si>
  <si>
    <t>Team: Starter/in 2</t>
  </si>
  <si>
    <t>Team: Starter/in 3</t>
  </si>
  <si>
    <t>Family: Mitglied 2</t>
  </si>
  <si>
    <t>Family: Mitglied 3</t>
  </si>
  <si>
    <t>Einschrittkampf: Partner/in</t>
  </si>
  <si>
    <t>Altersklasse Poomsae Einzel</t>
  </si>
  <si>
    <t>Von JG</t>
  </si>
  <si>
    <t>Bis JG</t>
  </si>
  <si>
    <t>Hinweis</t>
  </si>
  <si>
    <t>Leistungsklasse</t>
  </si>
  <si>
    <t>Graduierung laut Ausschreibung</t>
  </si>
  <si>
    <t>Disziplin</t>
  </si>
  <si>
    <t>Ja/Nein</t>
  </si>
  <si>
    <t>Kurzregel</t>
  </si>
  <si>
    <t>Graduierung</t>
  </si>
  <si>
    <t>Graduierung/LK laut PDF</t>
  </si>
  <si>
    <t>Umsetzung</t>
  </si>
  <si>
    <t>Bruchtest-Altersregel</t>
  </si>
  <si>
    <t>Klasse bis 7 Jahre / JG bis 2019</t>
  </si>
  <si>
    <t>nur Poomsae Einzel</t>
  </si>
  <si>
    <t>LK4</t>
  </si>
  <si>
    <t>10.-8. Kup</t>
  </si>
  <si>
    <t>weiblich</t>
  </si>
  <si>
    <t>Poomsae Einzel/Paar/Team/Family</t>
  </si>
  <si>
    <t>10. Kup</t>
  </si>
  <si>
    <t>Poomsae Einzel/Paar/Team</t>
  </si>
  <si>
    <t>Teilnehmende müssen am Turniertag das 16. Lebensjahr erreicht haben.</t>
  </si>
  <si>
    <t>LK3</t>
  </si>
  <si>
    <t>männlich</t>
  </si>
  <si>
    <t>9. Kup</t>
  </si>
  <si>
    <t>Exakte Prüfung</t>
  </si>
  <si>
    <t>LK2</t>
  </si>
  <si>
    <t>divers</t>
  </si>
  <si>
    <t>8. Kup</t>
  </si>
  <si>
    <t>LK1</t>
  </si>
  <si>
    <t>7. Kup</t>
  </si>
  <si>
    <t>6. Kup</t>
  </si>
  <si>
    <t>5. Kup</t>
  </si>
  <si>
    <t>Vorschlag bleibt überschreibbar</t>
  </si>
  <si>
    <t>Klasse bis 50 Jahre / JG 1985-1976</t>
  </si>
  <si>
    <t>4. Kup</t>
  </si>
  <si>
    <t>Klasse ab 51 Jahre / JG ab 1975</t>
  </si>
  <si>
    <t>3. Kup</t>
  </si>
  <si>
    <t>2. Kup</t>
  </si>
  <si>
    <t>1. Kup</t>
  </si>
  <si>
    <t>1. Dan</t>
  </si>
  <si>
    <t>2. Dan</t>
  </si>
  <si>
    <t>3. Dan</t>
  </si>
  <si>
    <t>Regelbasierte Partner-Auswahllisten</t>
  </si>
  <si>
    <t>Regel</t>
  </si>
  <si>
    <t>Paar</t>
  </si>
  <si>
    <t>Team Starter/in 2</t>
  </si>
  <si>
    <t>Team Starter/in 3</t>
  </si>
  <si>
    <t>Family Mitglied 2</t>
  </si>
  <si>
    <t>Family Mitglied 3</t>
  </si>
  <si>
    <t>Z10 Paar</t>
  </si>
  <si>
    <t>Z10 Team2</t>
  </si>
  <si>
    <t>Z10 Team3</t>
  </si>
  <si>
    <t>Z10 Family2</t>
  </si>
  <si>
    <t>Z10 Family3</t>
  </si>
  <si>
    <t>Z10 EK</t>
  </si>
  <si>
    <t>Z11 Paar</t>
  </si>
  <si>
    <t>Z11 Team2</t>
  </si>
  <si>
    <t>Z11 Team3</t>
  </si>
  <si>
    <t>Z11 Family2</t>
  </si>
  <si>
    <t>Z11 Family3</t>
  </si>
  <si>
    <t>Z11 EK</t>
  </si>
  <si>
    <t>Z12 Paar</t>
  </si>
  <si>
    <t>Z12 Team2</t>
  </si>
  <si>
    <t>Z12 Team3</t>
  </si>
  <si>
    <t>Z12 Family2</t>
  </si>
  <si>
    <t>Z12 Family3</t>
  </si>
  <si>
    <t>Z12 EK</t>
  </si>
  <si>
    <t>Z13 Paar</t>
  </si>
  <si>
    <t>Z13 Team2</t>
  </si>
  <si>
    <t>Z13 Team3</t>
  </si>
  <si>
    <t>Z13 Family2</t>
  </si>
  <si>
    <t>Z13 Family3</t>
  </si>
  <si>
    <t>Z13 EK</t>
  </si>
  <si>
    <t>Z14 Paar</t>
  </si>
  <si>
    <t>Z14 Team2</t>
  </si>
  <si>
    <t>Z14 Team3</t>
  </si>
  <si>
    <t>Z14 Family2</t>
  </si>
  <si>
    <t>Z14 Family3</t>
  </si>
  <si>
    <t>Z14 EK</t>
  </si>
  <si>
    <t>Z15 Paar</t>
  </si>
  <si>
    <t>Z15 Team2</t>
  </si>
  <si>
    <t>Z15 Team3</t>
  </si>
  <si>
    <t>Z15 Family2</t>
  </si>
  <si>
    <t>Z15 Family3</t>
  </si>
  <si>
    <t>Z15 EK</t>
  </si>
  <si>
    <t>Z16 Paar</t>
  </si>
  <si>
    <t>Z16 Team2</t>
  </si>
  <si>
    <t>Z16 Team3</t>
  </si>
  <si>
    <t>Z16 Family2</t>
  </si>
  <si>
    <t>Z16 Family3</t>
  </si>
  <si>
    <t>Z16 EK</t>
  </si>
  <si>
    <t>Z17 Paar</t>
  </si>
  <si>
    <t>Z17 Team2</t>
  </si>
  <si>
    <t>Z17 Team3</t>
  </si>
  <si>
    <t>Z17 Family2</t>
  </si>
  <si>
    <t>Z17 Family3</t>
  </si>
  <si>
    <t>Z17 EK</t>
  </si>
  <si>
    <t>Z18 Paar</t>
  </si>
  <si>
    <t>Z18 Team2</t>
  </si>
  <si>
    <t>Z18 Team3</t>
  </si>
  <si>
    <t>Z18 Family2</t>
  </si>
  <si>
    <t>Z18 Family3</t>
  </si>
  <si>
    <t>Z18 EK</t>
  </si>
  <si>
    <t>Z19 Paar</t>
  </si>
  <si>
    <t>Z19 Team2</t>
  </si>
  <si>
    <t>Z19 Team3</t>
  </si>
  <si>
    <t>Z19 Family2</t>
  </si>
  <si>
    <t>Z19 Family3</t>
  </si>
  <si>
    <t>Z19 EK</t>
  </si>
  <si>
    <t>Z20 Paar</t>
  </si>
  <si>
    <t>Z20 Team2</t>
  </si>
  <si>
    <t>Z20 Team3</t>
  </si>
  <si>
    <t>Z20 Family2</t>
  </si>
  <si>
    <t>Z20 Family3</t>
  </si>
  <si>
    <t>Z20 EK</t>
  </si>
  <si>
    <t>Z21 Paar</t>
  </si>
  <si>
    <t>Z21 Team2</t>
  </si>
  <si>
    <t>Z21 Team3</t>
  </si>
  <si>
    <t>Z21 Family2</t>
  </si>
  <si>
    <t>Z21 Family3</t>
  </si>
  <si>
    <t>Z21 EK</t>
  </si>
  <si>
    <t>Z22 Paar</t>
  </si>
  <si>
    <t>Z22 Team2</t>
  </si>
  <si>
    <t>Z22 Team3</t>
  </si>
  <si>
    <t>Z22 Family2</t>
  </si>
  <si>
    <t>Z22 Family3</t>
  </si>
  <si>
    <t>Z22 EK</t>
  </si>
  <si>
    <t>Z23 Paar</t>
  </si>
  <si>
    <t>Z23 Team2</t>
  </si>
  <si>
    <t>Z23 Team3</t>
  </si>
  <si>
    <t>Z23 Family2</t>
  </si>
  <si>
    <t>Z23 Family3</t>
  </si>
  <si>
    <t>Z23 EK</t>
  </si>
  <si>
    <t>Z24 Paar</t>
  </si>
  <si>
    <t>Z24 Team2</t>
  </si>
  <si>
    <t>Z24 Team3</t>
  </si>
  <si>
    <t>Z24 Family2</t>
  </si>
  <si>
    <t>Z24 Family3</t>
  </si>
  <si>
    <t>Z24 EK</t>
  </si>
  <si>
    <t>Z25 Paar</t>
  </si>
  <si>
    <t>Z25 Team2</t>
  </si>
  <si>
    <t>Z25 Team3</t>
  </si>
  <si>
    <t>Z25 Family2</t>
  </si>
  <si>
    <t>Z25 Family3</t>
  </si>
  <si>
    <t>Z25 EK</t>
  </si>
  <si>
    <t>Z26 Paar</t>
  </si>
  <si>
    <t>Z26 Team2</t>
  </si>
  <si>
    <t>Z26 Team3</t>
  </si>
  <si>
    <t>Z26 Family2</t>
  </si>
  <si>
    <t>Z26 Family3</t>
  </si>
  <si>
    <t>Z26 EK</t>
  </si>
  <si>
    <t>Z27 Paar</t>
  </si>
  <si>
    <t>Z27 Team2</t>
  </si>
  <si>
    <t>Z27 Team3</t>
  </si>
  <si>
    <t>Z27 Family2</t>
  </si>
  <si>
    <t>Z27 Family3</t>
  </si>
  <si>
    <t>Z27 EK</t>
  </si>
  <si>
    <t>Z28 Paar</t>
  </si>
  <si>
    <t>Z28 Team2</t>
  </si>
  <si>
    <t>Z28 Team3</t>
  </si>
  <si>
    <t>Z28 Family2</t>
  </si>
  <si>
    <t>Z28 Family3</t>
  </si>
  <si>
    <t>Z28 EK</t>
  </si>
  <si>
    <t>Z29 Paar</t>
  </si>
  <si>
    <t>Z29 Team2</t>
  </si>
  <si>
    <t>Z29 Team3</t>
  </si>
  <si>
    <t>Z29 Family2</t>
  </si>
  <si>
    <t>Z29 Family3</t>
  </si>
  <si>
    <t>Z29 EK</t>
  </si>
  <si>
    <t>Z30 Paar</t>
  </si>
  <si>
    <t>Z30 Team2</t>
  </si>
  <si>
    <t>Z30 Team3</t>
  </si>
  <si>
    <t>Z30 Family2</t>
  </si>
  <si>
    <t>Z30 Family3</t>
  </si>
  <si>
    <t>Z30 EK</t>
  </si>
  <si>
    <t>Z31 Paar</t>
  </si>
  <si>
    <t>Z31 Team2</t>
  </si>
  <si>
    <t>Z31 Team3</t>
  </si>
  <si>
    <t>Z31 Family2</t>
  </si>
  <si>
    <t>Z31 Family3</t>
  </si>
  <si>
    <t>Z31 EK</t>
  </si>
  <si>
    <t>Z32 Paar</t>
  </si>
  <si>
    <t>Z32 Team2</t>
  </si>
  <si>
    <t>Z32 Team3</t>
  </si>
  <si>
    <t>Z32 Family2</t>
  </si>
  <si>
    <t>Z32 Family3</t>
  </si>
  <si>
    <t>Z32 EK</t>
  </si>
  <si>
    <t>Z33 Paar</t>
  </si>
  <si>
    <t>Z33 Team2</t>
  </si>
  <si>
    <t>Z33 Team3</t>
  </si>
  <si>
    <t>Z33 Family2</t>
  </si>
  <si>
    <t>Z33 Family3</t>
  </si>
  <si>
    <t>Z33 EK</t>
  </si>
  <si>
    <t>Z34 Paar</t>
  </si>
  <si>
    <t>Z34 Team2</t>
  </si>
  <si>
    <t>Z34 Team3</t>
  </si>
  <si>
    <t>Z34 Family2</t>
  </si>
  <si>
    <t>Z34 Family3</t>
  </si>
  <si>
    <t>Z34 EK</t>
  </si>
  <si>
    <t>Z35 Paar</t>
  </si>
  <si>
    <t>Z35 Team2</t>
  </si>
  <si>
    <t>Z35 Team3</t>
  </si>
  <si>
    <t>Z35 Family2</t>
  </si>
  <si>
    <t>Z35 Family3</t>
  </si>
  <si>
    <t>Z35 EK</t>
  </si>
  <si>
    <t>Z36 Paar</t>
  </si>
  <si>
    <t>Z36 Team2</t>
  </si>
  <si>
    <t>Z36 Team3</t>
  </si>
  <si>
    <t>Z36 Family2</t>
  </si>
  <si>
    <t>Z36 Family3</t>
  </si>
  <si>
    <t>Z36 EK</t>
  </si>
  <si>
    <t>Z37 Paar</t>
  </si>
  <si>
    <t>Z37 Team2</t>
  </si>
  <si>
    <t>Z37 Team3</t>
  </si>
  <si>
    <t>Z37 Family2</t>
  </si>
  <si>
    <t>Z37 Family3</t>
  </si>
  <si>
    <t>Z37 EK</t>
  </si>
  <si>
    <t>Z38 Paar</t>
  </si>
  <si>
    <t>Z38 Team2</t>
  </si>
  <si>
    <t>Z38 Team3</t>
  </si>
  <si>
    <t>Z38 Family2</t>
  </si>
  <si>
    <t>Z38 Family3</t>
  </si>
  <si>
    <t>Z38 EK</t>
  </si>
  <si>
    <t>Z39 Paar</t>
  </si>
  <si>
    <t>Z39 Team2</t>
  </si>
  <si>
    <t>Z39 Team3</t>
  </si>
  <si>
    <t>Z39 Family2</t>
  </si>
  <si>
    <t>Z39 Family3</t>
  </si>
  <si>
    <t>Z39 EK</t>
  </si>
  <si>
    <t>Pool / Startklasse</t>
  </si>
  <si>
    <t>Start-Nr.</t>
  </si>
  <si>
    <t>Typ</t>
  </si>
  <si>
    <t>Starter/innen</t>
  </si>
  <si>
    <t>Teilnehmer-Nrn.</t>
  </si>
  <si>
    <t>Altersklasse</t>
  </si>
  <si>
    <t>Graduierung / Hinweis</t>
  </si>
  <si>
    <t>Überschneidungen</t>
  </si>
  <si>
    <t>Geburtsdatum</t>
  </si>
  <si>
    <t>Die Prüfung erfolgt automatisch und taggenau anhand von Geburtsdatum und Turnierdatum.</t>
  </si>
  <si>
    <t>Starter/innen mit Einzel, Paar oder Team</t>
  </si>
  <si>
    <t>Klasse 8-11 Jahre / JG 2018-2015</t>
  </si>
  <si>
    <t>Klasse 12-14 Jahre / JG 2014-2012</t>
  </si>
  <si>
    <t>Klasse 15-17 Jahre / JG 2011-2009</t>
  </si>
  <si>
    <t>Klasse 18-40 Jahre / JG 2008-1986</t>
  </si>
  <si>
    <t>Klasse ab 41 Jahre / JG ab 1985</t>
  </si>
  <si>
    <t>7.-5. Kup</t>
  </si>
  <si>
    <t>4.-2. Kup</t>
  </si>
  <si>
    <t>ab 1. Kup</t>
  </si>
  <si>
    <t>90 Sekunden; mindestens 6 Abfolgen pro Paar; maximal 3 Kontertechniken; Partnerwahl geschlechtsunabhängig</t>
  </si>
  <si>
    <t>Mindestalter 16 Jahre; ein Bruchtest; Brettstärke je Altersklasse</t>
  </si>
  <si>
    <t>30 Sekunden Paldung Chagi; Fuß zwischen den Kicks absetzen; Mindesthöhe eigener Gürtel, ab Ü50 Oberschenkel</t>
  </si>
  <si>
    <t>ab 1. Kup; 4.-2. Kup; 7.-5. Kup; 10.-8. Kup</t>
  </si>
  <si>
    <t>LK1/LK2/LK3/LK4; sechs Altersklassen nach Jahrgang</t>
  </si>
  <si>
    <t>sechs Altersklassen; ab 1. Kup, 4.-2., 7.-5., 10.-8. Kup</t>
  </si>
  <si>
    <t>Partnerauswahl gleiche Alters- und Leistungsklasse</t>
  </si>
  <si>
    <t>Mindestalter 16; Klassen 16-17, 18-40, ab 41 Jahre</t>
  </si>
  <si>
    <t>Taggenaue Altersprüfung; Brettstärke 1,0 / 1,5 / 1,0 cm</t>
  </si>
  <si>
    <t>sechs Altersklassen nach Jahrgang</t>
  </si>
  <si>
    <t>30 Sekunden; eigene Gürtelhöhe, ab Ü50 Oberschenkel</t>
  </si>
  <si>
    <t>LK-Zuordnung</t>
  </si>
  <si>
    <t>10.-8.=LK4, 7.-5.=LK3, 4.-2.=LK2, ab 1. Kup=LK1</t>
  </si>
  <si>
    <t>Teilnahmevoraussetzung</t>
  </si>
  <si>
    <t>Mindestens Einzel, Paar oder Team für weitere Klassen</t>
  </si>
  <si>
    <t>Pflichtprüfung in der Anmeldung</t>
  </si>
  <si>
    <t>In der Anmeldung ist „Ja“ bei Bruchtest nur auswählbar, wenn das Geburtsdatum mindestens 16 Jahre vor dem Wettkampfdatum 14.11.2026 liegt.</t>
  </si>
  <si>
    <t>gleiche AK + LK + Paar=Ja</t>
  </si>
  <si>
    <t>gleiche AK + LK; ohne Starter/in 3</t>
  </si>
  <si>
    <t>gleiche AK + LK; ohne Starter/in 2</t>
  </si>
  <si>
    <t>Family=Ja; ohne Mitglied 3</t>
  </si>
  <si>
    <t>Family=Ja; ohne Mitglied 2</t>
  </si>
  <si>
    <t>gleiche AK + LK + Einschrittkampf=Ja</t>
  </si>
  <si>
    <t>mindestens 2 Generationen; maximal 3 Personen; Formenpool nach niedrigster Graduierung</t>
  </si>
  <si>
    <t>Family-LK und Family-Startklasse nach niedrigster Leistungsklasse; Generationenregel manuell prüfen</t>
  </si>
  <si>
    <t>Formenpool frei wählbar; Family nur mit mindestens 2 Generationen und maximal 3 Personen</t>
  </si>
  <si>
    <t>Startgebühr</t>
  </si>
  <si>
    <t>Family-Leistungsklasse</t>
  </si>
  <si>
    <t>Graue Felder müssen nicht befüllt werden!</t>
  </si>
  <si>
    <t>Einschritt- kampf</t>
  </si>
  <si>
    <t>Status</t>
  </si>
  <si>
    <t>Status Disziplin fehlt</t>
  </si>
  <si>
    <t>Status Partner fehlt</t>
  </si>
  <si>
    <t>Verantwortlich:</t>
  </si>
  <si>
    <t>Thomas und Susann Berndt</t>
  </si>
  <si>
    <t>tangun-brandis@gmx.de</t>
  </si>
  <si>
    <t>Taekwondo Verein Tangun Brandis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</si>
</sst>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dd&quot;.&quot;mm&quot;.&quot;yyyy"/>
    <numFmt numFmtId="165" formatCode="#,##0.00\ [$€-407]"/>
  </numFmts>
  <fonts count="19" x14ac:knownFonts="1">
    <font>
      <sz val="11"/>
      <name val="Aptos Narrow"/>
      <scheme val="minor"/>
    </font>
    <font>
      <sz val="11"/>
      <name val="Aptos Narrow"/>
    </font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FFFFFF"/>
      <name val="Aptos Narrow"/>
    </font>
    <font>
      <sz val="8"/>
      <name val="Aptos Narrow"/>
      <scheme val="minor"/>
    </font>
    <font>
      <b/>
      <sz val="11"/>
      <name val="Aptos Narrow"/>
      <scheme val="minor"/>
    </font>
    <font>
      <b/>
      <sz val="18"/>
      <color theme="1"/>
      <name val="Calibri"/>
      <family val="2"/>
    </font>
    <font>
      <sz val="11"/>
      <color theme="1"/>
      <name val="Aptos Narrow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name val="Aptos Narrow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scheme val="minor"/>
    </font>
    <font>
      <b/>
      <u val="singleAccounting"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D9EA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EAF7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rgb="FFCAEDFB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Protection="1">
      <protection locked="0"/>
    </xf>
    <xf numFmtId="0" fontId="5" fillId="3" borderId="7" xfId="0" applyFont="1" applyFill="1" applyBorder="1" applyAlignment="1" applyProtection="1">
      <alignment horizontal="center"/>
      <protection hidden="1"/>
    </xf>
    <xf numFmtId="0" fontId="5" fillId="3" borderId="7" xfId="0" applyFont="1" applyFill="1" applyBorder="1" applyAlignment="1" applyProtection="1">
      <alignment horizontal="center" wrapText="1"/>
      <protection hidden="1"/>
    </xf>
    <xf numFmtId="165" fontId="5" fillId="3" borderId="7" xfId="0" applyNumberFormat="1" applyFont="1" applyFill="1" applyBorder="1" applyAlignment="1" applyProtection="1">
      <alignment horizontal="center" wrapText="1"/>
      <protection hidden="1"/>
    </xf>
    <xf numFmtId="0" fontId="5" fillId="4" borderId="7" xfId="0" applyFont="1" applyFill="1" applyBorder="1" applyAlignment="1" applyProtection="1">
      <alignment horizontal="center"/>
      <protection hidden="1"/>
    </xf>
    <xf numFmtId="0" fontId="5" fillId="4" borderId="7" xfId="0" applyFont="1" applyFill="1" applyBorder="1" applyAlignment="1" applyProtection="1">
      <alignment horizontal="center" wrapText="1"/>
      <protection hidden="1"/>
    </xf>
    <xf numFmtId="165" fontId="5" fillId="4" borderId="7" xfId="0" applyNumberFormat="1" applyFont="1" applyFill="1" applyBorder="1" applyAlignment="1" applyProtection="1">
      <alignment horizontal="center" wrapText="1"/>
      <protection hidden="1"/>
    </xf>
    <xf numFmtId="0" fontId="11" fillId="6" borderId="7" xfId="0" applyFont="1" applyFill="1" applyBorder="1" applyProtection="1">
      <protection locked="0"/>
    </xf>
    <xf numFmtId="164" fontId="5" fillId="6" borderId="7" xfId="0" applyNumberFormat="1" applyFont="1" applyFill="1" applyBorder="1" applyAlignment="1" applyProtection="1">
      <alignment horizontal="center"/>
      <protection locked="0"/>
    </xf>
    <xf numFmtId="0" fontId="5" fillId="7" borderId="7" xfId="0" applyFont="1" applyFill="1" applyBorder="1" applyProtection="1">
      <protection locked="0"/>
    </xf>
    <xf numFmtId="164" fontId="5" fillId="7" borderId="7" xfId="0" applyNumberFormat="1" applyFont="1" applyFill="1" applyBorder="1" applyAlignment="1" applyProtection="1">
      <alignment horizontal="center"/>
      <protection locked="0"/>
    </xf>
    <xf numFmtId="0" fontId="5" fillId="6" borderId="7" xfId="0" applyFont="1" applyFill="1" applyBorder="1" applyProtection="1">
      <protection locked="0"/>
    </xf>
    <xf numFmtId="0" fontId="5" fillId="6" borderId="7" xfId="0" applyFont="1" applyFill="1" applyBorder="1" applyAlignment="1" applyProtection="1">
      <alignment horizontal="center"/>
      <protection locked="0"/>
    </xf>
    <xf numFmtId="0" fontId="5" fillId="6" borderId="7" xfId="0" applyFont="1" applyFill="1" applyBorder="1" applyAlignment="1" applyProtection="1">
      <alignment horizontal="center" wrapText="1"/>
      <protection locked="0"/>
    </xf>
    <xf numFmtId="0" fontId="5" fillId="7" borderId="7" xfId="0" applyFont="1" applyFill="1" applyBorder="1" applyAlignment="1" applyProtection="1">
      <alignment horizontal="center"/>
      <protection locked="0"/>
    </xf>
    <xf numFmtId="0" fontId="5" fillId="7" borderId="7" xfId="0" applyFont="1" applyFill="1" applyBorder="1" applyAlignment="1" applyProtection="1">
      <alignment horizontal="center" wrapText="1"/>
      <protection locked="0"/>
    </xf>
    <xf numFmtId="0" fontId="5" fillId="6" borderId="7" xfId="0" applyFont="1" applyFill="1" applyBorder="1" applyAlignment="1" applyProtection="1">
      <alignment horizontal="left" wrapText="1"/>
      <protection locked="0"/>
    </xf>
    <xf numFmtId="0" fontId="5" fillId="7" borderId="7" xfId="0" applyFont="1" applyFill="1" applyBorder="1" applyAlignment="1" applyProtection="1">
      <alignment horizontal="left" wrapText="1"/>
      <protection locked="0"/>
    </xf>
    <xf numFmtId="14" fontId="2" fillId="5" borderId="7" xfId="0" applyNumberFormat="1" applyFont="1" applyFill="1" applyBorder="1" applyProtection="1">
      <protection hidden="1"/>
    </xf>
    <xf numFmtId="0" fontId="4" fillId="2" borderId="7" xfId="0" applyFont="1" applyFill="1" applyBorder="1" applyAlignment="1" applyProtection="1">
      <alignment horizontal="center" vertical="center" wrapText="1"/>
    </xf>
    <xf numFmtId="0" fontId="14" fillId="2" borderId="7" xfId="0" applyFont="1" applyFill="1" applyBorder="1" applyAlignment="1" applyProtection="1">
      <alignment horizontal="center" vertical="center" wrapText="1"/>
    </xf>
    <xf numFmtId="0" fontId="0" fillId="8" borderId="0" xfId="0" applyFill="1" applyProtection="1">
      <protection locked="0"/>
    </xf>
    <xf numFmtId="0" fontId="2" fillId="8" borderId="6" xfId="0" applyFont="1" applyFill="1" applyBorder="1" applyAlignment="1" applyProtection="1">
      <alignment wrapText="1"/>
      <protection hidden="1"/>
    </xf>
    <xf numFmtId="0" fontId="12" fillId="8" borderId="7" xfId="0" applyFont="1" applyFill="1" applyBorder="1" applyProtection="1">
      <protection locked="0"/>
    </xf>
    <xf numFmtId="0" fontId="1" fillId="8" borderId="7" xfId="0" applyFont="1" applyFill="1" applyBorder="1" applyProtection="1">
      <protection locked="0"/>
    </xf>
    <xf numFmtId="0" fontId="1" fillId="8" borderId="7" xfId="0" applyFont="1" applyFill="1" applyBorder="1" applyAlignment="1" applyProtection="1">
      <alignment vertical="center"/>
      <protection locked="0"/>
    </xf>
    <xf numFmtId="0" fontId="11" fillId="7" borderId="7" xfId="0" applyFont="1" applyFill="1" applyBorder="1" applyProtection="1">
      <protection locked="0"/>
    </xf>
    <xf numFmtId="0" fontId="2" fillId="8" borderId="0" xfId="0" applyFont="1" applyFill="1" applyProtection="1">
      <protection locked="0"/>
    </xf>
    <xf numFmtId="49" fontId="12" fillId="8" borderId="7" xfId="0" applyNumberFormat="1" applyFont="1" applyFill="1" applyBorder="1" applyAlignment="1" applyProtection="1">
      <alignment horizontal="right"/>
      <protection locked="0"/>
    </xf>
    <xf numFmtId="49" fontId="0" fillId="8" borderId="7" xfId="0" applyNumberFormat="1" applyFill="1" applyBorder="1" applyAlignment="1" applyProtection="1">
      <alignment horizontal="right"/>
      <protection locked="0"/>
    </xf>
    <xf numFmtId="0" fontId="2" fillId="8" borderId="4" xfId="0" applyFont="1" applyFill="1" applyBorder="1" applyProtection="1">
      <protection locked="0"/>
    </xf>
    <xf numFmtId="0" fontId="4" fillId="8" borderId="5" xfId="0" applyFont="1" applyFill="1" applyBorder="1" applyAlignment="1" applyProtection="1">
      <alignment wrapText="1"/>
      <protection locked="0"/>
    </xf>
    <xf numFmtId="0" fontId="0" fillId="8" borderId="7" xfId="0" applyFill="1" applyBorder="1" applyAlignment="1" applyProtection="1">
      <alignment vertical="center"/>
      <protection locked="0"/>
    </xf>
    <xf numFmtId="0" fontId="3" fillId="8" borderId="6" xfId="0" applyFont="1" applyFill="1" applyBorder="1" applyAlignment="1" applyProtection="1">
      <alignment wrapText="1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14" fontId="0" fillId="5" borderId="7" xfId="0" applyNumberFormat="1" applyFill="1" applyBorder="1" applyProtection="1">
      <protection hidden="1"/>
    </xf>
    <xf numFmtId="0" fontId="8" fillId="5" borderId="9" xfId="0" applyFont="1" applyFill="1" applyBorder="1" applyAlignment="1" applyProtection="1">
      <alignment horizontal="center"/>
      <protection hidden="1"/>
    </xf>
    <xf numFmtId="44" fontId="11" fillId="3" borderId="7" xfId="1" applyFont="1" applyFill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44" fontId="18" fillId="5" borderId="7" xfId="1" applyFont="1" applyFill="1" applyBorder="1" applyProtection="1">
      <protection hidden="1"/>
    </xf>
    <xf numFmtId="0" fontId="17" fillId="8" borderId="7" xfId="2" applyFill="1" applyBorder="1" applyProtection="1">
      <protection locked="0"/>
    </xf>
    <xf numFmtId="0" fontId="12" fillId="8" borderId="7" xfId="0" applyFont="1" applyFill="1" applyBorder="1" applyAlignment="1" applyProtection="1">
      <alignment vertical="center"/>
      <protection locked="0"/>
    </xf>
    <xf numFmtId="0" fontId="0" fillId="8" borderId="0" xfId="0" applyFill="1" applyProtection="1"/>
    <xf numFmtId="0" fontId="16" fillId="8" borderId="0" xfId="0" applyFont="1" applyFill="1" applyProtection="1"/>
    <xf numFmtId="0" fontId="16" fillId="8" borderId="0" xfId="2" applyFont="1" applyFill="1" applyProtection="1"/>
    <xf numFmtId="0" fontId="9" fillId="10" borderId="1" xfId="0" applyFont="1" applyFill="1" applyBorder="1" applyAlignment="1" applyProtection="1"/>
    <xf numFmtId="0" fontId="10" fillId="10" borderId="2" xfId="0" applyFont="1" applyFill="1" applyBorder="1" applyAlignment="1" applyProtection="1"/>
    <xf numFmtId="0" fontId="0" fillId="0" borderId="0" xfId="0" applyAlignment="1" applyProtection="1"/>
    <xf numFmtId="0" fontId="2" fillId="8" borderId="4" xfId="0" applyFont="1" applyFill="1" applyBorder="1" applyProtection="1"/>
    <xf numFmtId="0" fontId="3" fillId="8" borderId="4" xfId="0" applyFont="1" applyFill="1" applyBorder="1" applyProtection="1"/>
    <xf numFmtId="0" fontId="2" fillId="8" borderId="1" xfId="0" applyFont="1" applyFill="1" applyBorder="1" applyAlignment="1" applyProtection="1">
      <alignment wrapText="1"/>
    </xf>
    <xf numFmtId="0" fontId="1" fillId="8" borderId="2" xfId="0" applyFont="1" applyFill="1" applyBorder="1" applyProtection="1"/>
    <xf numFmtId="0" fontId="1" fillId="8" borderId="3" xfId="0" applyFont="1" applyFill="1" applyBorder="1" applyProtection="1"/>
    <xf numFmtId="0" fontId="3" fillId="8" borderId="6" xfId="0" applyFont="1" applyFill="1" applyBorder="1" applyAlignment="1" applyProtection="1">
      <alignment wrapText="1"/>
    </xf>
    <xf numFmtId="0" fontId="2" fillId="8" borderId="4" xfId="0" applyFont="1" applyFill="1" applyBorder="1" applyAlignment="1" applyProtection="1">
      <alignment wrapText="1"/>
    </xf>
    <xf numFmtId="0" fontId="1" fillId="8" borderId="4" xfId="0" applyFont="1" applyFill="1" applyBorder="1" applyProtection="1"/>
    <xf numFmtId="0" fontId="13" fillId="8" borderId="4" xfId="0" applyFont="1" applyFill="1" applyBorder="1" applyProtection="1"/>
    <xf numFmtId="0" fontId="2" fillId="8" borderId="6" xfId="0" applyFont="1" applyFill="1" applyBorder="1" applyAlignment="1" applyProtection="1">
      <alignment wrapText="1"/>
    </xf>
    <xf numFmtId="0" fontId="2" fillId="0" borderId="0" xfId="0" applyFont="1" applyProtection="1"/>
    <xf numFmtId="0" fontId="13" fillId="9" borderId="7" xfId="0" applyFont="1" applyFill="1" applyBorder="1" applyProtection="1"/>
    <xf numFmtId="0" fontId="3" fillId="9" borderId="7" xfId="0" applyFont="1" applyFill="1" applyBorder="1" applyProtection="1"/>
    <xf numFmtId="0" fontId="3" fillId="9" borderId="8" xfId="0" applyFont="1" applyFill="1" applyBorder="1" applyAlignment="1" applyProtection="1">
      <alignment vertical="center"/>
    </xf>
    <xf numFmtId="0" fontId="0" fillId="10" borderId="9" xfId="0" applyFill="1" applyBorder="1" applyAlignment="1" applyProtection="1">
      <alignment vertical="center"/>
    </xf>
  </cellXfs>
  <cellStyles count="3">
    <cellStyle name="Link" xfId="2" builtinId="8"/>
    <cellStyle name="Standard" xfId="0" builtinId="0"/>
    <cellStyle name="Währung" xfId="1" builtinId="4"/>
  </cellStyles>
  <dxfs count="85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5" formatCode="#,##0.00\ [$€-407]"/>
      <fill>
        <patternFill patternType="solid">
          <fgColor rgb="FFD9EAF7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solid">
          <fgColor rgb="FFD9EAF7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solid">
          <fgColor rgb="FFD9EAF7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/>
      </font>
      <fill>
        <patternFill patternType="solid">
          <fgColor indexed="64"/>
          <bgColor theme="0" tint="-0.14999847407452621"/>
        </patternFill>
      </fill>
      <alignment horizont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D9EAF7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solid">
          <fgColor rgb="FFD9EAF7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solid">
          <fgColor rgb="FFD9EAF7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dd&quot;.&quot;mm&quot;.&quot;yyyy"/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numFmt numFmtId="165" formatCode="#,##0.00\ [$€-407]"/>
      <fill>
        <patternFill patternType="solid">
          <fgColor indexed="64"/>
          <bgColor theme="0"/>
        </patternFill>
      </fill>
      <protection locked="1" hidden="1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fgColor indexed="64"/>
          <bgColor theme="0"/>
        </patternFill>
      </fill>
      <protection locked="1" hidden="0"/>
    </dxf>
    <dxf>
      <border>
        <bottom style="thin">
          <color indexed="64"/>
        </bottom>
      </border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C1E4F5"/>
          <bgColor rgb="FFC1E4F5"/>
        </patternFill>
      </fill>
    </dxf>
    <dxf>
      <fill>
        <patternFill patternType="none"/>
      </fill>
    </dxf>
  </dxfs>
  <tableStyles count="9">
    <tableStyle name="Anmeldung-style" pivot="0" count="3" xr9:uid="{00000000-0011-0000-FFFF-FFFF00000000}">
      <tableStyleElement type="headerRow" dxfId="84"/>
      <tableStyleElement type="firstRowStripe" dxfId="83"/>
      <tableStyleElement type="secondRowStripe" dxfId="82"/>
    </tableStyle>
    <tableStyle name="Listen-style" pivot="0" count="3" xr9:uid="{00000000-0011-0000-FFFF-FFFF01000000}">
      <tableStyleElement type="headerRow" dxfId="81"/>
      <tableStyleElement type="firstRowStripe" dxfId="80"/>
      <tableStyleElement type="secondRowStripe" dxfId="79"/>
    </tableStyle>
    <tableStyle name="Listen-style 2" pivot="0" count="3" xr9:uid="{00000000-0011-0000-FFFF-FFFF02000000}">
      <tableStyleElement type="headerRow" dxfId="78"/>
      <tableStyleElement type="firstRowStripe" dxfId="77"/>
      <tableStyleElement type="secondRowStripe" dxfId="76"/>
    </tableStyle>
    <tableStyle name="Listen-style 3" pivot="0" count="3" xr9:uid="{00000000-0011-0000-FFFF-FFFF03000000}">
      <tableStyleElement type="headerRow" dxfId="75"/>
      <tableStyleElement type="firstRowStripe" dxfId="74"/>
      <tableStyleElement type="secondRowStripe" dxfId="73"/>
    </tableStyle>
    <tableStyle name="Listen-style 4" pivot="0" count="3" xr9:uid="{00000000-0011-0000-FFFF-FFFF04000000}">
      <tableStyleElement type="headerRow" dxfId="72"/>
      <tableStyleElement type="firstRowStripe" dxfId="71"/>
      <tableStyleElement type="secondRowStripe" dxfId="70"/>
    </tableStyle>
    <tableStyle name="Listen-style 5" pivot="0" count="3" xr9:uid="{00000000-0011-0000-FFFF-FFFF05000000}">
      <tableStyleElement type="headerRow" dxfId="69"/>
      <tableStyleElement type="firstRowStripe" dxfId="68"/>
      <tableStyleElement type="secondRowStripe" dxfId="67"/>
    </tableStyle>
    <tableStyle name="Listen-style 6" pivot="0" count="3" xr9:uid="{00000000-0011-0000-FFFF-FFFF06000000}">
      <tableStyleElement type="headerRow" dxfId="66"/>
      <tableStyleElement type="firstRowStripe" dxfId="65"/>
      <tableStyleElement type="secondRowStripe" dxfId="64"/>
    </tableStyle>
    <tableStyle name="Listen-style 7" pivot="0" count="3" xr9:uid="{00000000-0011-0000-FFFF-FFFF07000000}">
      <tableStyleElement type="headerRow" dxfId="63"/>
      <tableStyleElement type="firstRowStripe" dxfId="62"/>
      <tableStyleElement type="secondRowStripe" dxfId="61"/>
    </tableStyle>
    <tableStyle name="Listen-style 8" pivot="0" count="3" xr9:uid="{00000000-0011-0000-FFFF-FFFF08000000}">
      <tableStyleElement type="headerRow" dxfId="60"/>
      <tableStyleElement type="firstRowStripe" dxfId="59"/>
      <tableStyleElement type="secondRowStripe" dxfId="5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1394460</xdr:colOff>
      <xdr:row>0</xdr:row>
      <xdr:rowOff>60959</xdr:rowOff>
    </xdr:from>
    <xdr:to>
      <xdr:col>2</xdr:col>
      <xdr:colOff>2350630</xdr:colOff>
      <xdr:row>5</xdr:row>
      <xdr:rowOff>68580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178831-894A-083C-598D-5227C72727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84" t="15064" r="15412" b="14543"/>
        <a:stretch>
          <a:fillRect/>
        </a:stretch>
      </xdr:blipFill>
      <xdr:spPr bwMode="auto">
        <a:xfrm>
          <a:off x="2926080" y="60959"/>
          <a:ext cx="956170" cy="96012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7:Y47" totalsRowShown="0" headerRowDxfId="0" dataDxfId="7" totalsRowDxfId="56" headerRowBorderDxfId="57">
  <autoFilter ref="A17:Y47" xr:uid="{00000000-000C-0000-FFFF-FFFF00000000}"/>
  <tableColumns count="25">
    <tableColumn id="5" xr3:uid="{B66E945A-341A-46C0-ABA7-14DD3A32AAD3}" name="Status" dataDxfId="6" totalsRowDxfId="55">
      <calculatedColumnFormula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calculatedColumnFormula>
    </tableColumn>
    <tableColumn id="1" xr3:uid="{00000000-0010-0000-0000-000001000000}" name="Nr." dataDxfId="26" totalsRowDxfId="54"/>
    <tableColumn id="41" xr3:uid="{495CB5F4-1249-4071-B8BC-F86687BE24C2}" name="Verein" dataDxfId="5" totalsRowDxfId="53">
      <calculatedColumnFormula>IF(D18="","",$B$10)</calculatedColumnFormula>
    </tableColumn>
    <tableColumn id="2" xr3:uid="{00000000-0010-0000-0000-000002000000}" name="Nachname" dataDxfId="25" totalsRowDxfId="52"/>
    <tableColumn id="3" xr3:uid="{00000000-0010-0000-0000-000003000000}" name="Vorname" dataDxfId="24" totalsRowDxfId="51"/>
    <tableColumn id="4" xr3:uid="{00000000-0010-0000-0000-000004000000}" name="Geburtsdatum" dataDxfId="23" totalsRowDxfId="50"/>
    <tableColumn id="31" xr3:uid="{BFB404BB-D3C4-4D44-BE6A-4EFA532FFEC8}" name="Altersklasse" dataDxfId="4" totalsRowDxfId="49">
      <calculatedColumnFormula>IF(F18="","",IF(YEAR(F18)&gt;=2019,"Klasse bis 7 Jahre / JG bis 2019",IF(YEAR(F18)&gt;=2015,"Klasse 8-11 Jahre / JG 2018-2015",IF(YEAR(F18)&gt;=2012,"Klasse 12-14 Jahre / JG 2014-2012",IF(YEAR(F18)&gt;=2009,"Klasse 15-17 Jahre / JG 2011-2009",IF(YEAR(F18)&gt;=1986,"Klasse 18-40 Jahre / JG 2008-1986","Klasse ab 41 Jahre / JG ab 1985"))))))</calculatedColumnFormula>
    </tableColumn>
    <tableColumn id="30" xr3:uid="{419E0869-2581-4269-9D8C-3BC2FA61B930}" name="Geschlecht" dataDxfId="22" totalsRowDxfId="48"/>
    <tableColumn id="29" xr3:uid="{7FF9A152-4323-4768-8CC3-9957C5E7F9BB}" name="Graduierung" dataDxfId="21" totalsRowDxfId="47"/>
    <tableColumn id="32" xr3:uid="{B95ECD0D-CEC7-4538-800D-3610877E8C0A}" name="Leistungsklasse" dataDxfId="3" totalsRowDxfId="46">
      <calculatedColumnFormula>IF(OR(D18="",I18=""),"",IF(OR(I18="10. Kup",I18="9. Kup",I18="8. Kup"),"LK4",IF(OR(I18="7. Kup",I18="6. Kup",I18="5. Kup"),"LK3",IF(OR(I18="4. Kup",I18="3. Kup",I18="2. Kup"),"LK2","LK1"))))</calculatedColumnFormula>
    </tableColumn>
    <tableColumn id="6" xr3:uid="{00000000-0010-0000-0000-000006000000}" name="Poomsae Einzel" dataDxfId="20" totalsRowDxfId="45"/>
    <tableColumn id="7" xr3:uid="{00000000-0010-0000-0000-000007000000}" name="Poomsae Paar" dataDxfId="19" totalsRowDxfId="44"/>
    <tableColumn id="33" xr3:uid="{453CC76D-2758-4D55-A1BF-14CA122C752A}" name="Paar: Partner/in" dataDxfId="18" totalsRowDxfId="43"/>
    <tableColumn id="8" xr3:uid="{00000000-0010-0000-0000-000008000000}" name="Poomsae Team" dataDxfId="17" totalsRowDxfId="42"/>
    <tableColumn id="34" xr3:uid="{96D41666-6020-425F-8F00-BEC17AA29EB3}" name="Team: Starter/in 2" dataDxfId="16" totalsRowDxfId="41"/>
    <tableColumn id="35" xr3:uid="{BD7A4880-4E40-4F40-8F02-38F0482F131D}" name="Team: Starter/in 3" dataDxfId="15" totalsRowDxfId="40"/>
    <tableColumn id="9" xr3:uid="{00000000-0010-0000-0000-000009000000}" name="Poomsae Family" dataDxfId="14" totalsRowDxfId="39"/>
    <tableColumn id="36" xr3:uid="{5159ADEC-9E10-4745-A264-A7B04C3A681F}" name="Family: Mitglied 2" dataDxfId="13" totalsRowDxfId="38"/>
    <tableColumn id="37" xr3:uid="{AE7C6C2B-AB46-4685-A7A1-7C3BC9FF18D3}" name="Family: Mitglied 3" dataDxfId="12" totalsRowDxfId="37"/>
    <tableColumn id="39" xr3:uid="{22DB4B94-D40B-4F0F-9D77-34F6A9F5DB4D}" name="Family-Leistungsklasse" dataDxfId="2" totalsRowDxfId="36">
      <calculatedColumnFormula array="1">IF(Q18&lt;&gt;"Ja","",IF(R18="","",CHOOSE(MAX(IF(OR(I18="10. Kup",I18="9. Kup",I18="8. Kup"),4,IF(OR(I18="7. Kup",I18="6. Kup",I18="5. Kup"),3,IF(OR(I18="4. Kup",I18="3. Kup",I18="2. Kup"),2,IF(I18&lt;&gt;"",1,0)))),IF(OR(IF(IFERROR(VALUE(LEFT(R18,FIND(":",R18)-1)),0)=0,"",INDEX($I$18:$I$47,IFERROR(VALUE(LEFT(R18,FIND(":",R18)-1)),0)))="10. Kup",IF(IFERROR(VALUE(LEFT(R18,FIND(":",R18)-1)),0)=0,"",INDEX($I$18:$I$47,IFERROR(VALUE(LEFT(R18,FIND(":",R18)-1)),0)))="9. Kup",IF(IFERROR(VALUE(LEFT(R18,FIND(":",R18)-1)),0)=0,"",INDEX($I$18:$I$47,IFERROR(VALUE(LEFT(R18,FIND(":",R18)-1)),0)))="8. Kup"),4,IF(OR(IF(IFERROR(VALUE(LEFT(R18,FIND(":",R18)-1)),0)=0,"",INDEX($I$18:$I$47,IFERROR(VALUE(LEFT(R18,FIND(":",R18)-1)),0)))="7. Kup",IF(IFERROR(VALUE(LEFT(R18,FIND(":",R18)-1)),0)=0,"",INDEX($I$18:$I$47,IFERROR(VALUE(LEFT(R18,FIND(":",R18)-1)),0)))="6. Kup",IF(IFERROR(VALUE(LEFT(R18,FIND(":",R18)-1)),0)=0,"",INDEX($I$18:$I$47,IFERROR(VALUE(LEFT(R18,FIND(":",R18)-1)),0)))="5. Kup"),3,IF(OR(IF(IFERROR(VALUE(LEFT(R18,FIND(":",R18)-1)),0)=0,"",INDEX($I$18:$I$47,IFERROR(VALUE(LEFT(R18,FIND(":",R18)-1)),0)))="4. Kup",IF(IFERROR(VALUE(LEFT(R18,FIND(":",R18)-1)),0)=0,"",INDEX($I$18:$I$47,IFERROR(VALUE(LEFT(R18,FIND(":",R18)-1)),0)))="3. Kup",IF(IFERROR(VALUE(LEFT(R18,FIND(":",R18)-1)),0)=0,"",INDEX($I$18:$I$47,IFERROR(VALUE(LEFT(R18,FIND(":",R18)-1)),0)))="2. Kup"),2,IF(IF(IFERROR(VALUE(LEFT(R18,FIND(":",R18)-1)),0)=0,"",INDEX($I$18:$I$47,IFERROR(VALUE(LEFT(R18,FIND(":",R18)-1)),0)))&lt;&gt;"",1,0)))),IF(OR(IF(IFERROR(VALUE(LEFT(S18,FIND(":",S18)-1)),0)=0,"",INDEX($I$18:$I$47,IFERROR(VALUE(LEFT(S18,FIND(":",S18)-1)),0)))="10. Kup",IF(IFERROR(VALUE(LEFT(S18,FIND(":",S18)-1)),0)=0,"",INDEX($I$18:$I$47,IFERROR(VALUE(LEFT(S18,FIND(":",S18)-1)),0)))="9. Kup",IF(IFERROR(VALUE(LEFT(S18,FIND(":",S18)-1)),0)=0,"",INDEX($I$18:$I$47,IFERROR(VALUE(LEFT(S18,FIND(":",S18)-1)),0)))="8. Kup"),4,IF(OR(IF(IFERROR(VALUE(LEFT(S18,FIND(":",S18)-1)),0)=0,"",INDEX($I$18:$I$47,IFERROR(VALUE(LEFT(S18,FIND(":",S18)-1)),0)))="7. Kup",IF(IFERROR(VALUE(LEFT(S18,FIND(":",S18)-1)),0)=0,"",INDEX($I$18:$I$47,IFERROR(VALUE(LEFT(S18,FIND(":",S18)-1)),0)))="6. Kup",IF(IFERROR(VALUE(LEFT(S18,FIND(":",S18)-1)),0)=0,"",INDEX($I$18:$I$47,IFERROR(VALUE(LEFT(S18,FIND(":",S18)-1)),0)))="5. Kup"),3,IF(OR(IF(IFERROR(VALUE(LEFT(S18,FIND(":",S18)-1)),0)=0,"",INDEX($I$18:$I$47,IFERROR(VALUE(LEFT(S18,FIND(":",S18)-1)),0)))="4. Kup",IF(IFERROR(VALUE(LEFT(S18,FIND(":",S18)-1)),0)=0,"",INDEX($I$18:$I$47,IFERROR(VALUE(LEFT(S18,FIND(":",S18)-1)),0)))="3. Kup",IF(IFERROR(VALUE(LEFT(S18,FIND(":",S18)-1)),0)=0,"",INDEX($I$18:$I$47,IFERROR(VALUE(LEFT(S18,FIND(":",S18)-1)),0)))="2. Kup"),2,IF(IF(IFERROR(VALUE(LEFT(S18,FIND(":",S18)-1)),0)=0,"",INDEX($I$18:$I$47,IFERROR(VALUE(LEFT(S18,FIND(":",S18)-1)),0)))&lt;&gt;"",1,0))))),"LK1","LK2","LK3","LK4")))</calculatedColumnFormula>
    </tableColumn>
    <tableColumn id="10" xr3:uid="{00000000-0010-0000-0000-00000A000000}" name="Einschritt- kampf" dataDxfId="11" totalsRowDxfId="35"/>
    <tableColumn id="38" xr3:uid="{2D056F58-620A-49DE-81A3-C1B716607D8F}" name="Einschrittkampf: Partner/in" dataDxfId="10" totalsRowDxfId="34"/>
    <tableColumn id="11" xr3:uid="{00000000-0010-0000-0000-00000B000000}" name="Bruchtest" dataDxfId="9" totalsRowDxfId="33"/>
    <tableColumn id="12" xr3:uid="{00000000-0010-0000-0000-00000C000000}" name="Speed-Kicking" dataDxfId="8" totalsRowDxfId="31"/>
    <tableColumn id="42" xr3:uid="{57CE2E24-7021-4B0B-8092-39018279E5CF}" name="Startgebühr" dataDxfId="1" totalsRowDxfId="32">
      <calculatedColumnFormula>IF(D18="","",25)</calculatedColumnFormula>
    </tableColumn>
  </tableColumns>
  <tableStyleInfo name="Anmeldung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D7">
  <tableColumns count="4">
    <tableColumn id="1" xr3:uid="{00000000-0010-0000-0100-000001000000}" name="Altersklasse Poomsae Einzel"/>
    <tableColumn id="2" xr3:uid="{00000000-0010-0000-0100-000002000000}" name="Von JG"/>
    <tableColumn id="3" xr3:uid="{00000000-0010-0000-0100-000003000000}" name="Bis JG"/>
    <tableColumn id="4" xr3:uid="{00000000-0010-0000-0100-000004000000}" name="Hinweis"/>
  </tableColumns>
  <tableStyleInfo name="Listen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F1:G5">
  <tableColumns count="2">
    <tableColumn id="1" xr3:uid="{00000000-0010-0000-0200-000001000000}" name="Leistungsklasse"/>
    <tableColumn id="2" xr3:uid="{00000000-0010-0000-0200-000002000000}" name="Graduierung laut Ausschreibung"/>
  </tableColumns>
  <tableStyleInfo name="Listen-style 2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I1:I8">
  <tableColumns count="1">
    <tableColumn id="1" xr3:uid="{00000000-0010-0000-0300-000001000000}" name="Disziplin"/>
  </tableColumns>
  <tableStyleInfo name="Listen-style 3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K1:K4">
  <tableColumns count="1">
    <tableColumn id="1" xr3:uid="{00000000-0010-0000-0400-000001000000}" name="Geschlecht"/>
  </tableColumns>
  <tableStyleInfo name="Listen-style 4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M1:M3">
  <tableColumns count="1">
    <tableColumn id="1" xr3:uid="{00000000-0010-0000-0500-000001000000}" name="Ja/Nein"/>
  </tableColumns>
  <tableStyleInfo name="Listen-style 5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O1:P5">
  <tableColumns count="2">
    <tableColumn id="1" xr3:uid="{00000000-0010-0000-0600-000001000000}" name="Disziplin"/>
    <tableColumn id="2" xr3:uid="{00000000-0010-0000-0600-000002000000}" name="Kurzregel"/>
  </tableColumns>
  <tableStyleInfo name="Listen-style 6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R1:R14">
  <tableColumns count="1">
    <tableColumn id="1" xr3:uid="{00000000-0010-0000-0700-000001000000}" name="Graduierung"/>
  </tableColumns>
  <tableStyleInfo name="Listen-style 7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T1:V8">
  <tableColumns count="3">
    <tableColumn id="1" xr3:uid="{00000000-0010-0000-0800-000001000000}" name="Disziplin"/>
    <tableColumn id="2" xr3:uid="{00000000-0010-0000-0800-000002000000}" name="Graduierung/LK laut PDF"/>
    <tableColumn id="3" xr3:uid="{00000000-0010-0000-0800-000003000000}" name="Umsetzung"/>
  </tableColumns>
  <tableStyleInfo name="Listen-style 8" showFirstColumn="1" showLastColumn="1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ngun-brandis@gmx.de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8"/>
  <sheetViews>
    <sheetView tabSelected="1" zoomScale="115" zoomScaleNormal="115" workbookViewId="0">
      <selection activeCell="B10" sqref="B10:C10"/>
    </sheetView>
  </sheetViews>
  <sheetFormatPr baseColWidth="10" defaultColWidth="14.44140625" defaultRowHeight="15" customHeight="1" x14ac:dyDescent="0.3"/>
  <cols>
    <col min="1" max="1" width="14.33203125" style="27" customWidth="1"/>
    <col min="2" max="2" width="8" style="27" bestFit="1" customWidth="1"/>
    <col min="3" max="3" width="40.5546875" style="27" customWidth="1"/>
    <col min="4" max="4" width="17.6640625" style="27" bestFit="1" customWidth="1"/>
    <col min="5" max="5" width="15.88671875" style="27" bestFit="1" customWidth="1"/>
    <col min="6" max="6" width="17.5546875" style="27" bestFit="1" customWidth="1"/>
    <col min="7" max="7" width="18.88671875" style="27" customWidth="1"/>
    <col min="8" max="8" width="14.33203125" style="27" bestFit="1" customWidth="1"/>
    <col min="9" max="9" width="16.5546875" style="27" bestFit="1" customWidth="1"/>
    <col min="10" max="10" width="18.21875" style="27" bestFit="1" customWidth="1"/>
    <col min="11" max="11" width="10.6640625" style="27" customWidth="1"/>
    <col min="12" max="12" width="10.44140625" style="27" customWidth="1"/>
    <col min="13" max="13" width="27.5546875" style="27" customWidth="1"/>
    <col min="14" max="14" width="13.33203125" style="27" customWidth="1"/>
    <col min="15" max="15" width="28.5546875" style="27" customWidth="1"/>
    <col min="16" max="16" width="27.44140625" style="27" customWidth="1"/>
    <col min="17" max="17" width="11.21875" style="27" customWidth="1"/>
    <col min="18" max="18" width="26.77734375" style="27" customWidth="1"/>
    <col min="19" max="19" width="26.88671875" style="27" customWidth="1"/>
    <col min="20" max="20" width="19.109375" style="27" customWidth="1"/>
    <col min="21" max="21" width="12.77734375" style="27" customWidth="1"/>
    <col min="22" max="22" width="25.6640625" style="27" customWidth="1"/>
    <col min="23" max="23" width="13.44140625" style="27" bestFit="1" customWidth="1"/>
    <col min="24" max="24" width="11.109375" style="27" customWidth="1"/>
    <col min="25" max="26" width="26.6640625" style="27" hidden="1" customWidth="1"/>
    <col min="27" max="27" width="20" style="27" hidden="1" customWidth="1"/>
    <col min="28" max="28" width="11" style="27" bestFit="1" customWidth="1"/>
    <col min="29" max="16384" width="14.44140625" style="27"/>
  </cols>
  <sheetData>
    <row r="1" spans="1:28" s="49" customFormat="1" ht="15" customHeight="1" x14ac:dyDescent="0.3"/>
    <row r="2" spans="1:28" s="49" customFormat="1" ht="15" customHeight="1" x14ac:dyDescent="0.3">
      <c r="A2" s="50" t="s">
        <v>316</v>
      </c>
      <c r="B2" s="50"/>
      <c r="C2" s="50"/>
    </row>
    <row r="3" spans="1:28" s="49" customFormat="1" ht="15" customHeight="1" x14ac:dyDescent="0.3">
      <c r="A3" s="50" t="s">
        <v>313</v>
      </c>
      <c r="B3" s="50" t="s">
        <v>314</v>
      </c>
      <c r="C3" s="50"/>
    </row>
    <row r="4" spans="1:28" s="49" customFormat="1" ht="15" customHeight="1" x14ac:dyDescent="0.3">
      <c r="A4" s="50"/>
      <c r="B4" s="51" t="s">
        <v>315</v>
      </c>
      <c r="C4" s="50"/>
    </row>
    <row r="5" spans="1:28" s="49" customFormat="1" ht="15" customHeight="1" x14ac:dyDescent="0.3"/>
    <row r="6" spans="1:28" s="49" customFormat="1" ht="15" customHeight="1" x14ac:dyDescent="0.3"/>
    <row r="7" spans="1:28" s="49" customFormat="1" ht="15" customHeight="1" x14ac:dyDescent="0.3"/>
    <row r="8" spans="1:28" s="49" customFormat="1" ht="23.4" x14ac:dyDescent="0.45">
      <c r="A8" s="52" t="s">
        <v>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4"/>
      <c r="Z8" s="54"/>
      <c r="AA8" s="54"/>
      <c r="AB8" s="54"/>
    </row>
    <row r="9" spans="1:28" s="49" customFormat="1" ht="14.4" x14ac:dyDescent="0.3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 t="s">
        <v>1</v>
      </c>
      <c r="AA9" s="55" t="s">
        <v>2</v>
      </c>
      <c r="AB9" s="55"/>
    </row>
    <row r="10" spans="1:28" ht="18.600000000000001" customHeight="1" x14ac:dyDescent="0.3">
      <c r="A10" s="66" t="s">
        <v>3</v>
      </c>
      <c r="B10" s="29"/>
      <c r="C10" s="30"/>
      <c r="D10" s="68" t="s">
        <v>4</v>
      </c>
      <c r="E10" s="48"/>
      <c r="F10" s="31"/>
      <c r="G10" s="67" t="s">
        <v>5</v>
      </c>
      <c r="H10" s="34"/>
      <c r="I10" s="35"/>
      <c r="J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 t="s">
        <v>6</v>
      </c>
      <c r="Z10" s="37" t="s">
        <v>7</v>
      </c>
      <c r="AA10" s="36"/>
      <c r="AB10" s="36"/>
    </row>
    <row r="11" spans="1:28" ht="14.4" x14ac:dyDescent="0.3">
      <c r="A11" s="67" t="s">
        <v>8</v>
      </c>
      <c r="B11" s="47"/>
      <c r="C11" s="30"/>
      <c r="D11" s="69"/>
      <c r="E11" s="38"/>
      <c r="F11" s="38"/>
      <c r="G11" s="67" t="s">
        <v>9</v>
      </c>
      <c r="H11" s="24">
        <f ca="1">TODAY()</f>
        <v>46278</v>
      </c>
      <c r="I11" s="42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9" t="s">
        <v>10</v>
      </c>
      <c r="Z11" s="28">
        <f>COUNTIF(Table_1[Nachname],"&lt;&gt;")</f>
        <v>0</v>
      </c>
      <c r="AA11" s="36"/>
      <c r="AB11" s="36"/>
    </row>
    <row r="12" spans="1:28" s="49" customFormat="1" ht="14.4" x14ac:dyDescent="0.3">
      <c r="A12" s="56"/>
      <c r="B12" s="57"/>
      <c r="C12" s="58"/>
      <c r="D12" s="58"/>
      <c r="E12" s="58"/>
      <c r="F12" s="58"/>
      <c r="G12" s="58"/>
      <c r="H12" s="58"/>
      <c r="I12" s="58"/>
      <c r="J12" s="58"/>
      <c r="K12" s="58"/>
      <c r="L12" s="59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60" t="s">
        <v>11</v>
      </c>
      <c r="Z12" s="28">
        <f>COUNTIF(Table_1[Status],"OK")</f>
        <v>0</v>
      </c>
      <c r="AA12" s="55"/>
      <c r="AB12" s="55"/>
    </row>
    <row r="13" spans="1:28" s="49" customFormat="1" ht="14.4" x14ac:dyDescent="0.3">
      <c r="A13" s="56"/>
      <c r="B13" s="61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60" t="s">
        <v>311</v>
      </c>
      <c r="Z13" s="28">
        <f>COUNTIF(Table_1[Status],"Disziplin fehlt")</f>
        <v>0</v>
      </c>
      <c r="AA13" s="55"/>
      <c r="AB13" s="55"/>
    </row>
    <row r="14" spans="1:28" s="49" customFormat="1" ht="14.4" x14ac:dyDescent="0.3">
      <c r="A14" s="63" t="s">
        <v>308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60" t="s">
        <v>312</v>
      </c>
      <c r="Z14" s="28">
        <f>COUNTIF(Table_1[Status],"Partner fehlt")</f>
        <v>0</v>
      </c>
      <c r="AA14" s="55"/>
      <c r="AB14" s="55"/>
    </row>
    <row r="15" spans="1:28" s="49" customFormat="1" ht="28.8" x14ac:dyDescent="0.3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60" t="s">
        <v>271</v>
      </c>
      <c r="Z15" s="28">
        <f>COUNTIF(Table_1[Status],"OK")+COUNTIF(Table_1[Status],"Partner fehlt")</f>
        <v>0</v>
      </c>
      <c r="AA15" s="55"/>
      <c r="AB15" s="55"/>
    </row>
    <row r="16" spans="1:28" s="49" customFormat="1" ht="14.4" x14ac:dyDescent="0.3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60" t="s">
        <v>12</v>
      </c>
      <c r="Z16" s="64" t="s">
        <v>13</v>
      </c>
      <c r="AA16" s="55"/>
      <c r="AB16" s="55"/>
    </row>
    <row r="17" spans="1:28" s="49" customFormat="1" ht="28.8" x14ac:dyDescent="0.3">
      <c r="A17" s="25" t="s">
        <v>310</v>
      </c>
      <c r="B17" s="25" t="s">
        <v>14</v>
      </c>
      <c r="C17" s="25" t="s">
        <v>3</v>
      </c>
      <c r="D17" s="25" t="s">
        <v>15</v>
      </c>
      <c r="E17" s="25" t="s">
        <v>16</v>
      </c>
      <c r="F17" s="25" t="s">
        <v>269</v>
      </c>
      <c r="G17" s="25" t="s">
        <v>266</v>
      </c>
      <c r="H17" s="25" t="s">
        <v>17</v>
      </c>
      <c r="I17" s="25" t="s">
        <v>40</v>
      </c>
      <c r="J17" s="25" t="s">
        <v>35</v>
      </c>
      <c r="K17" s="25" t="s">
        <v>18</v>
      </c>
      <c r="L17" s="25" t="s">
        <v>19</v>
      </c>
      <c r="M17" s="25" t="s">
        <v>25</v>
      </c>
      <c r="N17" s="25" t="s">
        <v>20</v>
      </c>
      <c r="O17" s="25" t="s">
        <v>26</v>
      </c>
      <c r="P17" s="25" t="s">
        <v>27</v>
      </c>
      <c r="Q17" s="25" t="s">
        <v>21</v>
      </c>
      <c r="R17" s="25" t="s">
        <v>28</v>
      </c>
      <c r="S17" s="25" t="s">
        <v>29</v>
      </c>
      <c r="T17" s="25" t="s">
        <v>307</v>
      </c>
      <c r="U17" s="26" t="s">
        <v>309</v>
      </c>
      <c r="V17" s="25" t="s">
        <v>30</v>
      </c>
      <c r="W17" s="25" t="s">
        <v>23</v>
      </c>
      <c r="X17" s="25" t="s">
        <v>24</v>
      </c>
      <c r="Y17" s="25" t="s">
        <v>306</v>
      </c>
      <c r="Z17" s="65"/>
      <c r="AA17" s="65"/>
      <c r="AB17" s="26" t="s">
        <v>306</v>
      </c>
    </row>
    <row r="18" spans="1:28" ht="14.4" x14ac:dyDescent="0.3">
      <c r="A18" s="43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18" s="40">
        <v>1</v>
      </c>
      <c r="C18" s="7" t="str">
        <f t="shared" ref="C18:C47" si="0">IF(D18="","",$B$10)</f>
        <v/>
      </c>
      <c r="D18" s="13"/>
      <c r="E18" s="13"/>
      <c r="F18" s="14"/>
      <c r="G18" s="8" t="str">
        <f t="shared" ref="G18:G47" si="1">IF(F18="","",IF(YEAR(F18)&gt;=2019,"Klasse bis 7 Jahre / JG bis 2019",IF(YEAR(F18)&gt;=2015,"Klasse 8-11 Jahre / JG 2018-2015",IF(YEAR(F18)&gt;=2012,"Klasse 12-14 Jahre / JG 2014-2012",IF(YEAR(F18)&gt;=2009,"Klasse 15-17 Jahre / JG 2011-2009",IF(YEAR(F18)&gt;=1986,"Klasse 18-40 Jahre / JG 2008-1986","Klasse ab 41 Jahre / JG ab 1985"))))))</f>
        <v/>
      </c>
      <c r="H18" s="18"/>
      <c r="I18" s="19"/>
      <c r="J18" s="8" t="str">
        <f t="shared" ref="J18:J47" si="2">IF(OR(D18="",I18=""),"",IF(OR(I18="10. Kup",I18="9. Kup",I18="8. Kup"),"LK4",IF(OR(I18="7. Kup",I18="6. Kup",I18="5. Kup"),"LK3",IF(OR(I18="4. Kup",I18="3. Kup",I18="2. Kup"),"LK2","LK1"))))</f>
        <v/>
      </c>
      <c r="K18" s="18"/>
      <c r="L18" s="18"/>
      <c r="M18" s="22"/>
      <c r="N18" s="18"/>
      <c r="O18" s="22"/>
      <c r="P18" s="22"/>
      <c r="Q18" s="18"/>
      <c r="R18" s="22"/>
      <c r="S18" s="22"/>
      <c r="T18" s="8" t="str">
        <f t="array" ref="T18">IF(Q18&lt;&gt;"Ja","",IF(R18="","",CHOOSE(MAX(IF(OR(I18="10. Kup",I18="9. Kup",I18="8. Kup"),4,IF(OR(I18="7. Kup",I18="6. Kup",I18="5. Kup"),3,IF(OR(I18="4. Kup",I18="3. Kup",I18="2. Kup"),2,IF(I18&lt;&gt;"",1,0)))),IF(OR(IF(IFERROR(VALUE(LEFT(R18,FIND(":",R18)-1)),0)=0,"",INDEX($I$18:$I$47,IFERROR(VALUE(LEFT(R18,FIND(":",R18)-1)),0)))="10. Kup",IF(IFERROR(VALUE(LEFT(R18,FIND(":",R18)-1)),0)=0,"",INDEX($I$18:$I$47,IFERROR(VALUE(LEFT(R18,FIND(":",R18)-1)),0)))="9. Kup",IF(IFERROR(VALUE(LEFT(R18,FIND(":",R18)-1)),0)=0,"",INDEX($I$18:$I$47,IFERROR(VALUE(LEFT(R18,FIND(":",R18)-1)),0)))="8. Kup"),4,IF(OR(IF(IFERROR(VALUE(LEFT(R18,FIND(":",R18)-1)),0)=0,"",INDEX($I$18:$I$47,IFERROR(VALUE(LEFT(R18,FIND(":",R18)-1)),0)))="7. Kup",IF(IFERROR(VALUE(LEFT(R18,FIND(":",R18)-1)),0)=0,"",INDEX($I$18:$I$47,IFERROR(VALUE(LEFT(R18,FIND(":",R18)-1)),0)))="6. Kup",IF(IFERROR(VALUE(LEFT(R18,FIND(":",R18)-1)),0)=0,"",INDEX($I$18:$I$47,IFERROR(VALUE(LEFT(R18,FIND(":",R18)-1)),0)))="5. Kup"),3,IF(OR(IF(IFERROR(VALUE(LEFT(R18,FIND(":",R18)-1)),0)=0,"",INDEX($I$18:$I$47,IFERROR(VALUE(LEFT(R18,FIND(":",R18)-1)),0)))="4. Kup",IF(IFERROR(VALUE(LEFT(R18,FIND(":",R18)-1)),0)=0,"",INDEX($I$18:$I$47,IFERROR(VALUE(LEFT(R18,FIND(":",R18)-1)),0)))="3. Kup",IF(IFERROR(VALUE(LEFT(R18,FIND(":",R18)-1)),0)=0,"",INDEX($I$18:$I$47,IFERROR(VALUE(LEFT(R18,FIND(":",R18)-1)),0)))="2. Kup"),2,IF(IF(IFERROR(VALUE(LEFT(R18,FIND(":",R18)-1)),0)=0,"",INDEX($I$18:$I$47,IFERROR(VALUE(LEFT(R18,FIND(":",R18)-1)),0)))&lt;&gt;"",1,0)))),IF(OR(IF(IFERROR(VALUE(LEFT(S18,FIND(":",S18)-1)),0)=0,"",INDEX($I$18:$I$47,IFERROR(VALUE(LEFT(S18,FIND(":",S18)-1)),0)))="10. Kup",IF(IFERROR(VALUE(LEFT(S18,FIND(":",S18)-1)),0)=0,"",INDEX($I$18:$I$47,IFERROR(VALUE(LEFT(S18,FIND(":",S18)-1)),0)))="9. Kup",IF(IFERROR(VALUE(LEFT(S18,FIND(":",S18)-1)),0)=0,"",INDEX($I$18:$I$47,IFERROR(VALUE(LEFT(S18,FIND(":",S18)-1)),0)))="8. Kup"),4,IF(OR(IF(IFERROR(VALUE(LEFT(S18,FIND(":",S18)-1)),0)=0,"",INDEX($I$18:$I$47,IFERROR(VALUE(LEFT(S18,FIND(":",S18)-1)),0)))="7. Kup",IF(IFERROR(VALUE(LEFT(S18,FIND(":",S18)-1)),0)=0,"",INDEX($I$18:$I$47,IFERROR(VALUE(LEFT(S18,FIND(":",S18)-1)),0)))="6. Kup",IF(IFERROR(VALUE(LEFT(S18,FIND(":",S18)-1)),0)=0,"",INDEX($I$18:$I$47,IFERROR(VALUE(LEFT(S18,FIND(":",S18)-1)),0)))="5. Kup"),3,IF(OR(IF(IFERROR(VALUE(LEFT(S18,FIND(":",S18)-1)),0)=0,"",INDEX($I$18:$I$47,IFERROR(VALUE(LEFT(S18,FIND(":",S18)-1)),0)))="4. Kup",IF(IFERROR(VALUE(LEFT(S18,FIND(":",S18)-1)),0)=0,"",INDEX($I$18:$I$47,IFERROR(VALUE(LEFT(S18,FIND(":",S18)-1)),0)))="3. Kup",IF(IFERROR(VALUE(LEFT(S18,FIND(":",S18)-1)),0)=0,"",INDEX($I$18:$I$47,IFERROR(VALUE(LEFT(S18,FIND(":",S18)-1)),0)))="2. Kup"),2,IF(IF(IFERROR(VALUE(LEFT(S18,FIND(":",S18)-1)),0)=0,"",INDEX($I$18:$I$47,IFERROR(VALUE(LEFT(S18,FIND(":",S18)-1)),0)))&lt;&gt;"",1,0))))),"LK1","LK2","LK3","LK4")))</f>
        <v/>
      </c>
      <c r="U18" s="18"/>
      <c r="V18" s="22"/>
      <c r="W18" s="18"/>
      <c r="X18" s="18"/>
      <c r="Y18" s="9" t="str">
        <f t="shared" ref="Y18:Y47" si="3">IF(D18="","",25)</f>
        <v/>
      </c>
      <c r="Z18" s="6"/>
      <c r="AA18" s="6"/>
      <c r="AB18" s="44" t="str">
        <f>IF(ISTEXT(D18),25,"")</f>
        <v/>
      </c>
    </row>
    <row r="19" spans="1:28" ht="14.4" x14ac:dyDescent="0.3">
      <c r="A19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19" s="41">
        <v>2</v>
      </c>
      <c r="C19" s="10" t="str">
        <f t="shared" si="0"/>
        <v/>
      </c>
      <c r="D19" s="32"/>
      <c r="E19" s="15"/>
      <c r="F19" s="16"/>
      <c r="G19" s="11" t="str">
        <f t="shared" si="1"/>
        <v/>
      </c>
      <c r="H19" s="20"/>
      <c r="I19" s="21"/>
      <c r="J19" s="11" t="str">
        <f t="shared" si="2"/>
        <v/>
      </c>
      <c r="K19" s="20"/>
      <c r="L19" s="20"/>
      <c r="M19" s="23"/>
      <c r="N19" s="20"/>
      <c r="O19" s="23"/>
      <c r="P19" s="23"/>
      <c r="Q19" s="20"/>
      <c r="R19" s="23"/>
      <c r="S19" s="23"/>
      <c r="T19" s="11" t="str">
        <f t="array" ref="T19">IF(Q19&lt;&gt;"Ja","",IF(R19="","",CHOOSE(MAX(IF(OR(I19="10. Kup",I19="9. Kup",I19="8. Kup"),4,IF(OR(I19="7. Kup",I19="6. Kup",I19="5. Kup"),3,IF(OR(I19="4. Kup",I19="3. Kup",I19="2. Kup"),2,IF(I19&lt;&gt;"",1,0)))),IF(OR(IF(IFERROR(VALUE(LEFT(R19,FIND(":",R19)-1)),0)=0,"",INDEX($I$18:$I$47,IFERROR(VALUE(LEFT(R19,FIND(":",R19)-1)),0)))="10. Kup",IF(IFERROR(VALUE(LEFT(R19,FIND(":",R19)-1)),0)=0,"",INDEX($I$18:$I$47,IFERROR(VALUE(LEFT(R19,FIND(":",R19)-1)),0)))="9. Kup",IF(IFERROR(VALUE(LEFT(R19,FIND(":",R19)-1)),0)=0,"",INDEX($I$18:$I$47,IFERROR(VALUE(LEFT(R19,FIND(":",R19)-1)),0)))="8. Kup"),4,IF(OR(IF(IFERROR(VALUE(LEFT(R19,FIND(":",R19)-1)),0)=0,"",INDEX($I$18:$I$47,IFERROR(VALUE(LEFT(R19,FIND(":",R19)-1)),0)))="7. Kup",IF(IFERROR(VALUE(LEFT(R19,FIND(":",R19)-1)),0)=0,"",INDEX($I$18:$I$47,IFERROR(VALUE(LEFT(R19,FIND(":",R19)-1)),0)))="6. Kup",IF(IFERROR(VALUE(LEFT(R19,FIND(":",R19)-1)),0)=0,"",INDEX($I$18:$I$47,IFERROR(VALUE(LEFT(R19,FIND(":",R19)-1)),0)))="5. Kup"),3,IF(OR(IF(IFERROR(VALUE(LEFT(R19,FIND(":",R19)-1)),0)=0,"",INDEX($I$18:$I$47,IFERROR(VALUE(LEFT(R19,FIND(":",R19)-1)),0)))="4. Kup",IF(IFERROR(VALUE(LEFT(R19,FIND(":",R19)-1)),0)=0,"",INDEX($I$18:$I$47,IFERROR(VALUE(LEFT(R19,FIND(":",R19)-1)),0)))="3. Kup",IF(IFERROR(VALUE(LEFT(R19,FIND(":",R19)-1)),0)=0,"",INDEX($I$18:$I$47,IFERROR(VALUE(LEFT(R19,FIND(":",R19)-1)),0)))="2. Kup"),2,IF(IF(IFERROR(VALUE(LEFT(R19,FIND(":",R19)-1)),0)=0,"",INDEX($I$18:$I$47,IFERROR(VALUE(LEFT(R19,FIND(":",R19)-1)),0)))&lt;&gt;"",1,0)))),IF(OR(IF(IFERROR(VALUE(LEFT(S19,FIND(":",S19)-1)),0)=0,"",INDEX($I$18:$I$47,IFERROR(VALUE(LEFT(S19,FIND(":",S19)-1)),0)))="10. Kup",IF(IFERROR(VALUE(LEFT(S19,FIND(":",S19)-1)),0)=0,"",INDEX($I$18:$I$47,IFERROR(VALUE(LEFT(S19,FIND(":",S19)-1)),0)))="9. Kup",IF(IFERROR(VALUE(LEFT(S19,FIND(":",S19)-1)),0)=0,"",INDEX($I$18:$I$47,IFERROR(VALUE(LEFT(S19,FIND(":",S19)-1)),0)))="8. Kup"),4,IF(OR(IF(IFERROR(VALUE(LEFT(S19,FIND(":",S19)-1)),0)=0,"",INDEX($I$18:$I$47,IFERROR(VALUE(LEFT(S19,FIND(":",S19)-1)),0)))="7. Kup",IF(IFERROR(VALUE(LEFT(S19,FIND(":",S19)-1)),0)=0,"",INDEX($I$18:$I$47,IFERROR(VALUE(LEFT(S19,FIND(":",S19)-1)),0)))="6. Kup",IF(IFERROR(VALUE(LEFT(S19,FIND(":",S19)-1)),0)=0,"",INDEX($I$18:$I$47,IFERROR(VALUE(LEFT(S19,FIND(":",S19)-1)),0)))="5. Kup"),3,IF(OR(IF(IFERROR(VALUE(LEFT(S19,FIND(":",S19)-1)),0)=0,"",INDEX($I$18:$I$47,IFERROR(VALUE(LEFT(S19,FIND(":",S19)-1)),0)))="4. Kup",IF(IFERROR(VALUE(LEFT(S19,FIND(":",S19)-1)),0)=0,"",INDEX($I$18:$I$47,IFERROR(VALUE(LEFT(S19,FIND(":",S19)-1)),0)))="3. Kup",IF(IFERROR(VALUE(LEFT(S19,FIND(":",S19)-1)),0)=0,"",INDEX($I$18:$I$47,IFERROR(VALUE(LEFT(S19,FIND(":",S19)-1)),0)))="2. Kup"),2,IF(IF(IFERROR(VALUE(LEFT(S19,FIND(":",S19)-1)),0)=0,"",INDEX($I$18:$I$47,IFERROR(VALUE(LEFT(S19,FIND(":",S19)-1)),0)))&lt;&gt;"",1,0))))),"LK1","LK2","LK3","LK4")))</f>
        <v/>
      </c>
      <c r="U19" s="20"/>
      <c r="V19" s="23"/>
      <c r="W19" s="20"/>
      <c r="X19" s="20"/>
      <c r="Y19" s="12" t="str">
        <f t="shared" si="3"/>
        <v/>
      </c>
      <c r="Z19" s="6"/>
      <c r="AA19" s="6"/>
      <c r="AB19" s="44" t="str">
        <f t="shared" ref="AB19:AB47" si="4">IF(ISTEXT(D19),25,"")</f>
        <v/>
      </c>
    </row>
    <row r="20" spans="1:28" ht="14.4" x14ac:dyDescent="0.3">
      <c r="A20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0" s="40">
        <v>3</v>
      </c>
      <c r="C20" s="7" t="str">
        <f t="shared" si="0"/>
        <v/>
      </c>
      <c r="D20" s="17"/>
      <c r="E20" s="17"/>
      <c r="F20" s="14"/>
      <c r="G20" s="8" t="str">
        <f t="shared" si="1"/>
        <v/>
      </c>
      <c r="H20" s="18"/>
      <c r="I20" s="19"/>
      <c r="J20" s="8" t="str">
        <f t="shared" si="2"/>
        <v/>
      </c>
      <c r="K20" s="18"/>
      <c r="L20" s="18"/>
      <c r="M20" s="22"/>
      <c r="N20" s="18"/>
      <c r="O20" s="22"/>
      <c r="P20" s="22"/>
      <c r="Q20" s="18"/>
      <c r="R20" s="22"/>
      <c r="S20" s="22"/>
      <c r="T20" s="8" t="str">
        <f t="array" ref="T20">IF(Q20&lt;&gt;"Ja","",IF(R20="","",CHOOSE(MAX(IF(OR(I20="10. Kup",I20="9. Kup",I20="8. Kup"),4,IF(OR(I20="7. Kup",I20="6. Kup",I20="5. Kup"),3,IF(OR(I20="4. Kup",I20="3. Kup",I20="2. Kup"),2,IF(I20&lt;&gt;"",1,0)))),IF(OR(IF(IFERROR(VALUE(LEFT(R20,FIND(":",R20)-1)),0)=0,"",INDEX($I$18:$I$47,IFERROR(VALUE(LEFT(R20,FIND(":",R20)-1)),0)))="10. Kup",IF(IFERROR(VALUE(LEFT(R20,FIND(":",R20)-1)),0)=0,"",INDEX($I$18:$I$47,IFERROR(VALUE(LEFT(R20,FIND(":",R20)-1)),0)))="9. Kup",IF(IFERROR(VALUE(LEFT(R20,FIND(":",R20)-1)),0)=0,"",INDEX($I$18:$I$47,IFERROR(VALUE(LEFT(R20,FIND(":",R20)-1)),0)))="8. Kup"),4,IF(OR(IF(IFERROR(VALUE(LEFT(R20,FIND(":",R20)-1)),0)=0,"",INDEX($I$18:$I$47,IFERROR(VALUE(LEFT(R20,FIND(":",R20)-1)),0)))="7. Kup",IF(IFERROR(VALUE(LEFT(R20,FIND(":",R20)-1)),0)=0,"",INDEX($I$18:$I$47,IFERROR(VALUE(LEFT(R20,FIND(":",R20)-1)),0)))="6. Kup",IF(IFERROR(VALUE(LEFT(R20,FIND(":",R20)-1)),0)=0,"",INDEX($I$18:$I$47,IFERROR(VALUE(LEFT(R20,FIND(":",R20)-1)),0)))="5. Kup"),3,IF(OR(IF(IFERROR(VALUE(LEFT(R20,FIND(":",R20)-1)),0)=0,"",INDEX($I$18:$I$47,IFERROR(VALUE(LEFT(R20,FIND(":",R20)-1)),0)))="4. Kup",IF(IFERROR(VALUE(LEFT(R20,FIND(":",R20)-1)),0)=0,"",INDEX($I$18:$I$47,IFERROR(VALUE(LEFT(R20,FIND(":",R20)-1)),0)))="3. Kup",IF(IFERROR(VALUE(LEFT(R20,FIND(":",R20)-1)),0)=0,"",INDEX($I$18:$I$47,IFERROR(VALUE(LEFT(R20,FIND(":",R20)-1)),0)))="2. Kup"),2,IF(IF(IFERROR(VALUE(LEFT(R20,FIND(":",R20)-1)),0)=0,"",INDEX($I$18:$I$47,IFERROR(VALUE(LEFT(R20,FIND(":",R20)-1)),0)))&lt;&gt;"",1,0)))),IF(OR(IF(IFERROR(VALUE(LEFT(S20,FIND(":",S20)-1)),0)=0,"",INDEX($I$18:$I$47,IFERROR(VALUE(LEFT(S20,FIND(":",S20)-1)),0)))="10. Kup",IF(IFERROR(VALUE(LEFT(S20,FIND(":",S20)-1)),0)=0,"",INDEX($I$18:$I$47,IFERROR(VALUE(LEFT(S20,FIND(":",S20)-1)),0)))="9. Kup",IF(IFERROR(VALUE(LEFT(S20,FIND(":",S20)-1)),0)=0,"",INDEX($I$18:$I$47,IFERROR(VALUE(LEFT(S20,FIND(":",S20)-1)),0)))="8. Kup"),4,IF(OR(IF(IFERROR(VALUE(LEFT(S20,FIND(":",S20)-1)),0)=0,"",INDEX($I$18:$I$47,IFERROR(VALUE(LEFT(S20,FIND(":",S20)-1)),0)))="7. Kup",IF(IFERROR(VALUE(LEFT(S20,FIND(":",S20)-1)),0)=0,"",INDEX($I$18:$I$47,IFERROR(VALUE(LEFT(S20,FIND(":",S20)-1)),0)))="6. Kup",IF(IFERROR(VALUE(LEFT(S20,FIND(":",S20)-1)),0)=0,"",INDEX($I$18:$I$47,IFERROR(VALUE(LEFT(S20,FIND(":",S20)-1)),0)))="5. Kup"),3,IF(OR(IF(IFERROR(VALUE(LEFT(S20,FIND(":",S20)-1)),0)=0,"",INDEX($I$18:$I$47,IFERROR(VALUE(LEFT(S20,FIND(":",S20)-1)),0)))="4. Kup",IF(IFERROR(VALUE(LEFT(S20,FIND(":",S20)-1)),0)=0,"",INDEX($I$18:$I$47,IFERROR(VALUE(LEFT(S20,FIND(":",S20)-1)),0)))="3. Kup",IF(IFERROR(VALUE(LEFT(S20,FIND(":",S20)-1)),0)=0,"",INDEX($I$18:$I$47,IFERROR(VALUE(LEFT(S20,FIND(":",S20)-1)),0)))="2. Kup"),2,IF(IF(IFERROR(VALUE(LEFT(S20,FIND(":",S20)-1)),0)=0,"",INDEX($I$18:$I$47,IFERROR(VALUE(LEFT(S20,FIND(":",S20)-1)),0)))&lt;&gt;"",1,0))))),"LK1","LK2","LK3","LK4")))</f>
        <v/>
      </c>
      <c r="U20" s="18"/>
      <c r="V20" s="22"/>
      <c r="W20" s="18"/>
      <c r="X20" s="18"/>
      <c r="Y20" s="9" t="str">
        <f t="shared" si="3"/>
        <v/>
      </c>
      <c r="Z20" s="6"/>
      <c r="AA20" s="6"/>
      <c r="AB20" s="44" t="str">
        <f t="shared" si="4"/>
        <v/>
      </c>
    </row>
    <row r="21" spans="1:28" ht="14.4" x14ac:dyDescent="0.3">
      <c r="A21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1" s="41">
        <v>4</v>
      </c>
      <c r="C21" s="10" t="str">
        <f t="shared" si="0"/>
        <v/>
      </c>
      <c r="D21" s="15"/>
      <c r="E21" s="15"/>
      <c r="F21" s="16"/>
      <c r="G21" s="11" t="str">
        <f t="shared" si="1"/>
        <v/>
      </c>
      <c r="H21" s="20"/>
      <c r="I21" s="21"/>
      <c r="J21" s="11" t="str">
        <f t="shared" si="2"/>
        <v/>
      </c>
      <c r="K21" s="20"/>
      <c r="L21" s="20"/>
      <c r="M21" s="23"/>
      <c r="N21" s="20"/>
      <c r="O21" s="23"/>
      <c r="P21" s="23"/>
      <c r="Q21" s="20"/>
      <c r="R21" s="23"/>
      <c r="S21" s="23"/>
      <c r="T21" s="11" t="str">
        <f t="array" ref="T21">IF(Q21&lt;&gt;"Ja","",IF(R21="","",CHOOSE(MAX(IF(OR(I21="10. Kup",I21="9. Kup",I21="8. Kup"),4,IF(OR(I21="7. Kup",I21="6. Kup",I21="5. Kup"),3,IF(OR(I21="4. Kup",I21="3. Kup",I21="2. Kup"),2,IF(I21&lt;&gt;"",1,0)))),IF(OR(IF(IFERROR(VALUE(LEFT(R21,FIND(":",R21)-1)),0)=0,"",INDEX($I$18:$I$47,IFERROR(VALUE(LEFT(R21,FIND(":",R21)-1)),0)))="10. Kup",IF(IFERROR(VALUE(LEFT(R21,FIND(":",R21)-1)),0)=0,"",INDEX($I$18:$I$47,IFERROR(VALUE(LEFT(R21,FIND(":",R21)-1)),0)))="9. Kup",IF(IFERROR(VALUE(LEFT(R21,FIND(":",R21)-1)),0)=0,"",INDEX($I$18:$I$47,IFERROR(VALUE(LEFT(R21,FIND(":",R21)-1)),0)))="8. Kup"),4,IF(OR(IF(IFERROR(VALUE(LEFT(R21,FIND(":",R21)-1)),0)=0,"",INDEX($I$18:$I$47,IFERROR(VALUE(LEFT(R21,FIND(":",R21)-1)),0)))="7. Kup",IF(IFERROR(VALUE(LEFT(R21,FIND(":",R21)-1)),0)=0,"",INDEX($I$18:$I$47,IFERROR(VALUE(LEFT(R21,FIND(":",R21)-1)),0)))="6. Kup",IF(IFERROR(VALUE(LEFT(R21,FIND(":",R21)-1)),0)=0,"",INDEX($I$18:$I$47,IFERROR(VALUE(LEFT(R21,FIND(":",R21)-1)),0)))="5. Kup"),3,IF(OR(IF(IFERROR(VALUE(LEFT(R21,FIND(":",R21)-1)),0)=0,"",INDEX($I$18:$I$47,IFERROR(VALUE(LEFT(R21,FIND(":",R21)-1)),0)))="4. Kup",IF(IFERROR(VALUE(LEFT(R21,FIND(":",R21)-1)),0)=0,"",INDEX($I$18:$I$47,IFERROR(VALUE(LEFT(R21,FIND(":",R21)-1)),0)))="3. Kup",IF(IFERROR(VALUE(LEFT(R21,FIND(":",R21)-1)),0)=0,"",INDEX($I$18:$I$47,IFERROR(VALUE(LEFT(R21,FIND(":",R21)-1)),0)))="2. Kup"),2,IF(IF(IFERROR(VALUE(LEFT(R21,FIND(":",R21)-1)),0)=0,"",INDEX($I$18:$I$47,IFERROR(VALUE(LEFT(R21,FIND(":",R21)-1)),0)))&lt;&gt;"",1,0)))),IF(OR(IF(IFERROR(VALUE(LEFT(S21,FIND(":",S21)-1)),0)=0,"",INDEX($I$18:$I$47,IFERROR(VALUE(LEFT(S21,FIND(":",S21)-1)),0)))="10. Kup",IF(IFERROR(VALUE(LEFT(S21,FIND(":",S21)-1)),0)=0,"",INDEX($I$18:$I$47,IFERROR(VALUE(LEFT(S21,FIND(":",S21)-1)),0)))="9. Kup",IF(IFERROR(VALUE(LEFT(S21,FIND(":",S21)-1)),0)=0,"",INDEX($I$18:$I$47,IFERROR(VALUE(LEFT(S21,FIND(":",S21)-1)),0)))="8. Kup"),4,IF(OR(IF(IFERROR(VALUE(LEFT(S21,FIND(":",S21)-1)),0)=0,"",INDEX($I$18:$I$47,IFERROR(VALUE(LEFT(S21,FIND(":",S21)-1)),0)))="7. Kup",IF(IFERROR(VALUE(LEFT(S21,FIND(":",S21)-1)),0)=0,"",INDEX($I$18:$I$47,IFERROR(VALUE(LEFT(S21,FIND(":",S21)-1)),0)))="6. Kup",IF(IFERROR(VALUE(LEFT(S21,FIND(":",S21)-1)),0)=0,"",INDEX($I$18:$I$47,IFERROR(VALUE(LEFT(S21,FIND(":",S21)-1)),0)))="5. Kup"),3,IF(OR(IF(IFERROR(VALUE(LEFT(S21,FIND(":",S21)-1)),0)=0,"",INDEX($I$18:$I$47,IFERROR(VALUE(LEFT(S21,FIND(":",S21)-1)),0)))="4. Kup",IF(IFERROR(VALUE(LEFT(S21,FIND(":",S21)-1)),0)=0,"",INDEX($I$18:$I$47,IFERROR(VALUE(LEFT(S21,FIND(":",S21)-1)),0)))="3. Kup",IF(IFERROR(VALUE(LEFT(S21,FIND(":",S21)-1)),0)=0,"",INDEX($I$18:$I$47,IFERROR(VALUE(LEFT(S21,FIND(":",S21)-1)),0)))="2. Kup"),2,IF(IF(IFERROR(VALUE(LEFT(S21,FIND(":",S21)-1)),0)=0,"",INDEX($I$18:$I$47,IFERROR(VALUE(LEFT(S21,FIND(":",S21)-1)),0)))&lt;&gt;"",1,0))))),"LK1","LK2","LK3","LK4")))</f>
        <v/>
      </c>
      <c r="U21" s="20"/>
      <c r="V21" s="23"/>
      <c r="W21" s="20"/>
      <c r="X21" s="20"/>
      <c r="Y21" s="12" t="str">
        <f t="shared" si="3"/>
        <v/>
      </c>
      <c r="Z21" s="6"/>
      <c r="AA21" s="6"/>
      <c r="AB21" s="44" t="str">
        <f t="shared" si="4"/>
        <v/>
      </c>
    </row>
    <row r="22" spans="1:28" ht="14.4" x14ac:dyDescent="0.3">
      <c r="A22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2" s="40">
        <v>5</v>
      </c>
      <c r="C22" s="7" t="str">
        <f t="shared" si="0"/>
        <v/>
      </c>
      <c r="D22" s="17"/>
      <c r="E22" s="17"/>
      <c r="F22" s="14"/>
      <c r="G22" s="8" t="str">
        <f t="shared" si="1"/>
        <v/>
      </c>
      <c r="H22" s="18"/>
      <c r="I22" s="19"/>
      <c r="J22" s="8" t="str">
        <f t="shared" si="2"/>
        <v/>
      </c>
      <c r="K22" s="18"/>
      <c r="L22" s="18"/>
      <c r="M22" s="22"/>
      <c r="N22" s="18"/>
      <c r="O22" s="22"/>
      <c r="P22" s="22"/>
      <c r="Q22" s="18"/>
      <c r="R22" s="22"/>
      <c r="S22" s="22"/>
      <c r="T22" s="8" t="str">
        <f t="array" ref="T22">IF(Q22&lt;&gt;"Ja","",IF(R22="","",CHOOSE(MAX(IF(OR(I22="10. Kup",I22="9. Kup",I22="8. Kup"),4,IF(OR(I22="7. Kup",I22="6. Kup",I22="5. Kup"),3,IF(OR(I22="4. Kup",I22="3. Kup",I22="2. Kup"),2,IF(I22&lt;&gt;"",1,0)))),IF(OR(IF(IFERROR(VALUE(LEFT(R22,FIND(":",R22)-1)),0)=0,"",INDEX($I$18:$I$47,IFERROR(VALUE(LEFT(R22,FIND(":",R22)-1)),0)))="10. Kup",IF(IFERROR(VALUE(LEFT(R22,FIND(":",R22)-1)),0)=0,"",INDEX($I$18:$I$47,IFERROR(VALUE(LEFT(R22,FIND(":",R22)-1)),0)))="9. Kup",IF(IFERROR(VALUE(LEFT(R22,FIND(":",R22)-1)),0)=0,"",INDEX($I$18:$I$47,IFERROR(VALUE(LEFT(R22,FIND(":",R22)-1)),0)))="8. Kup"),4,IF(OR(IF(IFERROR(VALUE(LEFT(R22,FIND(":",R22)-1)),0)=0,"",INDEX($I$18:$I$47,IFERROR(VALUE(LEFT(R22,FIND(":",R22)-1)),0)))="7. Kup",IF(IFERROR(VALUE(LEFT(R22,FIND(":",R22)-1)),0)=0,"",INDEX($I$18:$I$47,IFERROR(VALUE(LEFT(R22,FIND(":",R22)-1)),0)))="6. Kup",IF(IFERROR(VALUE(LEFT(R22,FIND(":",R22)-1)),0)=0,"",INDEX($I$18:$I$47,IFERROR(VALUE(LEFT(R22,FIND(":",R22)-1)),0)))="5. Kup"),3,IF(OR(IF(IFERROR(VALUE(LEFT(R22,FIND(":",R22)-1)),0)=0,"",INDEX($I$18:$I$47,IFERROR(VALUE(LEFT(R22,FIND(":",R22)-1)),0)))="4. Kup",IF(IFERROR(VALUE(LEFT(R22,FIND(":",R22)-1)),0)=0,"",INDEX($I$18:$I$47,IFERROR(VALUE(LEFT(R22,FIND(":",R22)-1)),0)))="3. Kup",IF(IFERROR(VALUE(LEFT(R22,FIND(":",R22)-1)),0)=0,"",INDEX($I$18:$I$47,IFERROR(VALUE(LEFT(R22,FIND(":",R22)-1)),0)))="2. Kup"),2,IF(IF(IFERROR(VALUE(LEFT(R22,FIND(":",R22)-1)),0)=0,"",INDEX($I$18:$I$47,IFERROR(VALUE(LEFT(R22,FIND(":",R22)-1)),0)))&lt;&gt;"",1,0)))),IF(OR(IF(IFERROR(VALUE(LEFT(S22,FIND(":",S22)-1)),0)=0,"",INDEX($I$18:$I$47,IFERROR(VALUE(LEFT(S22,FIND(":",S22)-1)),0)))="10. Kup",IF(IFERROR(VALUE(LEFT(S22,FIND(":",S22)-1)),0)=0,"",INDEX($I$18:$I$47,IFERROR(VALUE(LEFT(S22,FIND(":",S22)-1)),0)))="9. Kup",IF(IFERROR(VALUE(LEFT(S22,FIND(":",S22)-1)),0)=0,"",INDEX($I$18:$I$47,IFERROR(VALUE(LEFT(S22,FIND(":",S22)-1)),0)))="8. Kup"),4,IF(OR(IF(IFERROR(VALUE(LEFT(S22,FIND(":",S22)-1)),0)=0,"",INDEX($I$18:$I$47,IFERROR(VALUE(LEFT(S22,FIND(":",S22)-1)),0)))="7. Kup",IF(IFERROR(VALUE(LEFT(S22,FIND(":",S22)-1)),0)=0,"",INDEX($I$18:$I$47,IFERROR(VALUE(LEFT(S22,FIND(":",S22)-1)),0)))="6. Kup",IF(IFERROR(VALUE(LEFT(S22,FIND(":",S22)-1)),0)=0,"",INDEX($I$18:$I$47,IFERROR(VALUE(LEFT(S22,FIND(":",S22)-1)),0)))="5. Kup"),3,IF(OR(IF(IFERROR(VALUE(LEFT(S22,FIND(":",S22)-1)),0)=0,"",INDEX($I$18:$I$47,IFERROR(VALUE(LEFT(S22,FIND(":",S22)-1)),0)))="4. Kup",IF(IFERROR(VALUE(LEFT(S22,FIND(":",S22)-1)),0)=0,"",INDEX($I$18:$I$47,IFERROR(VALUE(LEFT(S22,FIND(":",S22)-1)),0)))="3. Kup",IF(IFERROR(VALUE(LEFT(S22,FIND(":",S22)-1)),0)=0,"",INDEX($I$18:$I$47,IFERROR(VALUE(LEFT(S22,FIND(":",S22)-1)),0)))="2. Kup"),2,IF(IF(IFERROR(VALUE(LEFT(S22,FIND(":",S22)-1)),0)=0,"",INDEX($I$18:$I$47,IFERROR(VALUE(LEFT(S22,FIND(":",S22)-1)),0)))&lt;&gt;"",1,0))))),"LK1","LK2","LK3","LK4")))</f>
        <v/>
      </c>
      <c r="U22" s="18"/>
      <c r="V22" s="22"/>
      <c r="W22" s="18"/>
      <c r="X22" s="18"/>
      <c r="Y22" s="9" t="str">
        <f t="shared" si="3"/>
        <v/>
      </c>
      <c r="Z22" s="6"/>
      <c r="AA22" s="6"/>
      <c r="AB22" s="44" t="str">
        <f t="shared" si="4"/>
        <v/>
      </c>
    </row>
    <row r="23" spans="1:28" ht="14.4" x14ac:dyDescent="0.3">
      <c r="A23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3" s="41">
        <v>6</v>
      </c>
      <c r="C23" s="10" t="str">
        <f t="shared" si="0"/>
        <v/>
      </c>
      <c r="D23" s="15"/>
      <c r="E23" s="15"/>
      <c r="F23" s="16"/>
      <c r="G23" s="11" t="str">
        <f t="shared" si="1"/>
        <v/>
      </c>
      <c r="H23" s="20"/>
      <c r="I23" s="21"/>
      <c r="J23" s="11" t="str">
        <f t="shared" si="2"/>
        <v/>
      </c>
      <c r="K23" s="20"/>
      <c r="L23" s="20"/>
      <c r="M23" s="23"/>
      <c r="N23" s="20"/>
      <c r="O23" s="23"/>
      <c r="P23" s="23"/>
      <c r="Q23" s="20"/>
      <c r="R23" s="23"/>
      <c r="S23" s="23"/>
      <c r="T23" s="11" t="str">
        <f t="array" ref="T23">IF(Q23&lt;&gt;"Ja","",IF(R23="","",CHOOSE(MAX(IF(OR(I23="10. Kup",I23="9. Kup",I23="8. Kup"),4,IF(OR(I23="7. Kup",I23="6. Kup",I23="5. Kup"),3,IF(OR(I23="4. Kup",I23="3. Kup",I23="2. Kup"),2,IF(I23&lt;&gt;"",1,0)))),IF(OR(IF(IFERROR(VALUE(LEFT(R23,FIND(":",R23)-1)),0)=0,"",INDEX($I$18:$I$47,IFERROR(VALUE(LEFT(R23,FIND(":",R23)-1)),0)))="10. Kup",IF(IFERROR(VALUE(LEFT(R23,FIND(":",R23)-1)),0)=0,"",INDEX($I$18:$I$47,IFERROR(VALUE(LEFT(R23,FIND(":",R23)-1)),0)))="9. Kup",IF(IFERROR(VALUE(LEFT(R23,FIND(":",R23)-1)),0)=0,"",INDEX($I$18:$I$47,IFERROR(VALUE(LEFT(R23,FIND(":",R23)-1)),0)))="8. Kup"),4,IF(OR(IF(IFERROR(VALUE(LEFT(R23,FIND(":",R23)-1)),0)=0,"",INDEX($I$18:$I$47,IFERROR(VALUE(LEFT(R23,FIND(":",R23)-1)),0)))="7. Kup",IF(IFERROR(VALUE(LEFT(R23,FIND(":",R23)-1)),0)=0,"",INDEX($I$18:$I$47,IFERROR(VALUE(LEFT(R23,FIND(":",R23)-1)),0)))="6. Kup",IF(IFERROR(VALUE(LEFT(R23,FIND(":",R23)-1)),0)=0,"",INDEX($I$18:$I$47,IFERROR(VALUE(LEFT(R23,FIND(":",R23)-1)),0)))="5. Kup"),3,IF(OR(IF(IFERROR(VALUE(LEFT(R23,FIND(":",R23)-1)),0)=0,"",INDEX($I$18:$I$47,IFERROR(VALUE(LEFT(R23,FIND(":",R23)-1)),0)))="4. Kup",IF(IFERROR(VALUE(LEFT(R23,FIND(":",R23)-1)),0)=0,"",INDEX($I$18:$I$47,IFERROR(VALUE(LEFT(R23,FIND(":",R23)-1)),0)))="3. Kup",IF(IFERROR(VALUE(LEFT(R23,FIND(":",R23)-1)),0)=0,"",INDEX($I$18:$I$47,IFERROR(VALUE(LEFT(R23,FIND(":",R23)-1)),0)))="2. Kup"),2,IF(IF(IFERROR(VALUE(LEFT(R23,FIND(":",R23)-1)),0)=0,"",INDEX($I$18:$I$47,IFERROR(VALUE(LEFT(R23,FIND(":",R23)-1)),0)))&lt;&gt;"",1,0)))),IF(OR(IF(IFERROR(VALUE(LEFT(S23,FIND(":",S23)-1)),0)=0,"",INDEX($I$18:$I$47,IFERROR(VALUE(LEFT(S23,FIND(":",S23)-1)),0)))="10. Kup",IF(IFERROR(VALUE(LEFT(S23,FIND(":",S23)-1)),0)=0,"",INDEX($I$18:$I$47,IFERROR(VALUE(LEFT(S23,FIND(":",S23)-1)),0)))="9. Kup",IF(IFERROR(VALUE(LEFT(S23,FIND(":",S23)-1)),0)=0,"",INDEX($I$18:$I$47,IFERROR(VALUE(LEFT(S23,FIND(":",S23)-1)),0)))="8. Kup"),4,IF(OR(IF(IFERROR(VALUE(LEFT(S23,FIND(":",S23)-1)),0)=0,"",INDEX($I$18:$I$47,IFERROR(VALUE(LEFT(S23,FIND(":",S23)-1)),0)))="7. Kup",IF(IFERROR(VALUE(LEFT(S23,FIND(":",S23)-1)),0)=0,"",INDEX($I$18:$I$47,IFERROR(VALUE(LEFT(S23,FIND(":",S23)-1)),0)))="6. Kup",IF(IFERROR(VALUE(LEFT(S23,FIND(":",S23)-1)),0)=0,"",INDEX($I$18:$I$47,IFERROR(VALUE(LEFT(S23,FIND(":",S23)-1)),0)))="5. Kup"),3,IF(OR(IF(IFERROR(VALUE(LEFT(S23,FIND(":",S23)-1)),0)=0,"",INDEX($I$18:$I$47,IFERROR(VALUE(LEFT(S23,FIND(":",S23)-1)),0)))="4. Kup",IF(IFERROR(VALUE(LEFT(S23,FIND(":",S23)-1)),0)=0,"",INDEX($I$18:$I$47,IFERROR(VALUE(LEFT(S23,FIND(":",S23)-1)),0)))="3. Kup",IF(IFERROR(VALUE(LEFT(S23,FIND(":",S23)-1)),0)=0,"",INDEX($I$18:$I$47,IFERROR(VALUE(LEFT(S23,FIND(":",S23)-1)),0)))="2. Kup"),2,IF(IF(IFERROR(VALUE(LEFT(S23,FIND(":",S23)-1)),0)=0,"",INDEX($I$18:$I$47,IFERROR(VALUE(LEFT(S23,FIND(":",S23)-1)),0)))&lt;&gt;"",1,0))))),"LK1","LK2","LK3","LK4")))</f>
        <v/>
      </c>
      <c r="U23" s="20"/>
      <c r="V23" s="23"/>
      <c r="W23" s="20"/>
      <c r="X23" s="20"/>
      <c r="Y23" s="12" t="str">
        <f t="shared" si="3"/>
        <v/>
      </c>
      <c r="Z23" s="6"/>
      <c r="AA23" s="6"/>
      <c r="AB23" s="44" t="str">
        <f t="shared" si="4"/>
        <v/>
      </c>
    </row>
    <row r="24" spans="1:28" ht="14.4" x14ac:dyDescent="0.3">
      <c r="A24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4" s="40">
        <v>7</v>
      </c>
      <c r="C24" s="7" t="str">
        <f t="shared" si="0"/>
        <v/>
      </c>
      <c r="D24" s="17"/>
      <c r="E24" s="17"/>
      <c r="F24" s="14"/>
      <c r="G24" s="8" t="str">
        <f t="shared" si="1"/>
        <v/>
      </c>
      <c r="H24" s="18"/>
      <c r="I24" s="19"/>
      <c r="J24" s="8" t="str">
        <f t="shared" si="2"/>
        <v/>
      </c>
      <c r="K24" s="18"/>
      <c r="L24" s="18"/>
      <c r="M24" s="22"/>
      <c r="N24" s="18"/>
      <c r="O24" s="22"/>
      <c r="P24" s="22"/>
      <c r="Q24" s="18"/>
      <c r="R24" s="22"/>
      <c r="S24" s="22"/>
      <c r="T24" s="8" t="str">
        <f t="array" ref="T24">IF(Q24&lt;&gt;"Ja","",IF(R24="","",CHOOSE(MAX(IF(OR(I24="10. Kup",I24="9. Kup",I24="8. Kup"),4,IF(OR(I24="7. Kup",I24="6. Kup",I24="5. Kup"),3,IF(OR(I24="4. Kup",I24="3. Kup",I24="2. Kup"),2,IF(I24&lt;&gt;"",1,0)))),IF(OR(IF(IFERROR(VALUE(LEFT(R24,FIND(":",R24)-1)),0)=0,"",INDEX($I$18:$I$47,IFERROR(VALUE(LEFT(R24,FIND(":",R24)-1)),0)))="10. Kup",IF(IFERROR(VALUE(LEFT(R24,FIND(":",R24)-1)),0)=0,"",INDEX($I$18:$I$47,IFERROR(VALUE(LEFT(R24,FIND(":",R24)-1)),0)))="9. Kup",IF(IFERROR(VALUE(LEFT(R24,FIND(":",R24)-1)),0)=0,"",INDEX($I$18:$I$47,IFERROR(VALUE(LEFT(R24,FIND(":",R24)-1)),0)))="8. Kup"),4,IF(OR(IF(IFERROR(VALUE(LEFT(R24,FIND(":",R24)-1)),0)=0,"",INDEX($I$18:$I$47,IFERROR(VALUE(LEFT(R24,FIND(":",R24)-1)),0)))="7. Kup",IF(IFERROR(VALUE(LEFT(R24,FIND(":",R24)-1)),0)=0,"",INDEX($I$18:$I$47,IFERROR(VALUE(LEFT(R24,FIND(":",R24)-1)),0)))="6. Kup",IF(IFERROR(VALUE(LEFT(R24,FIND(":",R24)-1)),0)=0,"",INDEX($I$18:$I$47,IFERROR(VALUE(LEFT(R24,FIND(":",R24)-1)),0)))="5. Kup"),3,IF(OR(IF(IFERROR(VALUE(LEFT(R24,FIND(":",R24)-1)),0)=0,"",INDEX($I$18:$I$47,IFERROR(VALUE(LEFT(R24,FIND(":",R24)-1)),0)))="4. Kup",IF(IFERROR(VALUE(LEFT(R24,FIND(":",R24)-1)),0)=0,"",INDEX($I$18:$I$47,IFERROR(VALUE(LEFT(R24,FIND(":",R24)-1)),0)))="3. Kup",IF(IFERROR(VALUE(LEFT(R24,FIND(":",R24)-1)),0)=0,"",INDEX($I$18:$I$47,IFERROR(VALUE(LEFT(R24,FIND(":",R24)-1)),0)))="2. Kup"),2,IF(IF(IFERROR(VALUE(LEFT(R24,FIND(":",R24)-1)),0)=0,"",INDEX($I$18:$I$47,IFERROR(VALUE(LEFT(R24,FIND(":",R24)-1)),0)))&lt;&gt;"",1,0)))),IF(OR(IF(IFERROR(VALUE(LEFT(S24,FIND(":",S24)-1)),0)=0,"",INDEX($I$18:$I$47,IFERROR(VALUE(LEFT(S24,FIND(":",S24)-1)),0)))="10. Kup",IF(IFERROR(VALUE(LEFT(S24,FIND(":",S24)-1)),0)=0,"",INDEX($I$18:$I$47,IFERROR(VALUE(LEFT(S24,FIND(":",S24)-1)),0)))="9. Kup",IF(IFERROR(VALUE(LEFT(S24,FIND(":",S24)-1)),0)=0,"",INDEX($I$18:$I$47,IFERROR(VALUE(LEFT(S24,FIND(":",S24)-1)),0)))="8. Kup"),4,IF(OR(IF(IFERROR(VALUE(LEFT(S24,FIND(":",S24)-1)),0)=0,"",INDEX($I$18:$I$47,IFERROR(VALUE(LEFT(S24,FIND(":",S24)-1)),0)))="7. Kup",IF(IFERROR(VALUE(LEFT(S24,FIND(":",S24)-1)),0)=0,"",INDEX($I$18:$I$47,IFERROR(VALUE(LEFT(S24,FIND(":",S24)-1)),0)))="6. Kup",IF(IFERROR(VALUE(LEFT(S24,FIND(":",S24)-1)),0)=0,"",INDEX($I$18:$I$47,IFERROR(VALUE(LEFT(S24,FIND(":",S24)-1)),0)))="5. Kup"),3,IF(OR(IF(IFERROR(VALUE(LEFT(S24,FIND(":",S24)-1)),0)=0,"",INDEX($I$18:$I$47,IFERROR(VALUE(LEFT(S24,FIND(":",S24)-1)),0)))="4. Kup",IF(IFERROR(VALUE(LEFT(S24,FIND(":",S24)-1)),0)=0,"",INDEX($I$18:$I$47,IFERROR(VALUE(LEFT(S24,FIND(":",S24)-1)),0)))="3. Kup",IF(IFERROR(VALUE(LEFT(S24,FIND(":",S24)-1)),0)=0,"",INDEX($I$18:$I$47,IFERROR(VALUE(LEFT(S24,FIND(":",S24)-1)),0)))="2. Kup"),2,IF(IF(IFERROR(VALUE(LEFT(S24,FIND(":",S24)-1)),0)=0,"",INDEX($I$18:$I$47,IFERROR(VALUE(LEFT(S24,FIND(":",S24)-1)),0)))&lt;&gt;"",1,0))))),"LK1","LK2","LK3","LK4")))</f>
        <v/>
      </c>
      <c r="U24" s="18"/>
      <c r="V24" s="22"/>
      <c r="W24" s="18"/>
      <c r="X24" s="18"/>
      <c r="Y24" s="9" t="str">
        <f t="shared" si="3"/>
        <v/>
      </c>
      <c r="Z24" s="6"/>
      <c r="AA24" s="6"/>
      <c r="AB24" s="44" t="str">
        <f t="shared" si="4"/>
        <v/>
      </c>
    </row>
    <row r="25" spans="1:28" ht="14.4" x14ac:dyDescent="0.3">
      <c r="A25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5" s="41">
        <v>8</v>
      </c>
      <c r="C25" s="10" t="str">
        <f t="shared" si="0"/>
        <v/>
      </c>
      <c r="D25" s="15"/>
      <c r="E25" s="15"/>
      <c r="F25" s="16"/>
      <c r="G25" s="11" t="str">
        <f t="shared" si="1"/>
        <v/>
      </c>
      <c r="H25" s="20"/>
      <c r="I25" s="21"/>
      <c r="J25" s="11" t="str">
        <f t="shared" si="2"/>
        <v/>
      </c>
      <c r="K25" s="20"/>
      <c r="L25" s="20"/>
      <c r="M25" s="23"/>
      <c r="N25" s="20"/>
      <c r="O25" s="23"/>
      <c r="P25" s="23"/>
      <c r="Q25" s="20"/>
      <c r="R25" s="23"/>
      <c r="S25" s="23"/>
      <c r="T25" s="11" t="str">
        <f t="array" ref="T25">IF(Q25&lt;&gt;"Ja","",IF(R25="","",CHOOSE(MAX(IF(OR(I25="10. Kup",I25="9. Kup",I25="8. Kup"),4,IF(OR(I25="7. Kup",I25="6. Kup",I25="5. Kup"),3,IF(OR(I25="4. Kup",I25="3. Kup",I25="2. Kup"),2,IF(I25&lt;&gt;"",1,0)))),IF(OR(IF(IFERROR(VALUE(LEFT(R25,FIND(":",R25)-1)),0)=0,"",INDEX($I$18:$I$47,IFERROR(VALUE(LEFT(R25,FIND(":",R25)-1)),0)))="10. Kup",IF(IFERROR(VALUE(LEFT(R25,FIND(":",R25)-1)),0)=0,"",INDEX($I$18:$I$47,IFERROR(VALUE(LEFT(R25,FIND(":",R25)-1)),0)))="9. Kup",IF(IFERROR(VALUE(LEFT(R25,FIND(":",R25)-1)),0)=0,"",INDEX($I$18:$I$47,IFERROR(VALUE(LEFT(R25,FIND(":",R25)-1)),0)))="8. Kup"),4,IF(OR(IF(IFERROR(VALUE(LEFT(R25,FIND(":",R25)-1)),0)=0,"",INDEX($I$18:$I$47,IFERROR(VALUE(LEFT(R25,FIND(":",R25)-1)),0)))="7. Kup",IF(IFERROR(VALUE(LEFT(R25,FIND(":",R25)-1)),0)=0,"",INDEX($I$18:$I$47,IFERROR(VALUE(LEFT(R25,FIND(":",R25)-1)),0)))="6. Kup",IF(IFERROR(VALUE(LEFT(R25,FIND(":",R25)-1)),0)=0,"",INDEX($I$18:$I$47,IFERROR(VALUE(LEFT(R25,FIND(":",R25)-1)),0)))="5. Kup"),3,IF(OR(IF(IFERROR(VALUE(LEFT(R25,FIND(":",R25)-1)),0)=0,"",INDEX($I$18:$I$47,IFERROR(VALUE(LEFT(R25,FIND(":",R25)-1)),0)))="4. Kup",IF(IFERROR(VALUE(LEFT(R25,FIND(":",R25)-1)),0)=0,"",INDEX($I$18:$I$47,IFERROR(VALUE(LEFT(R25,FIND(":",R25)-1)),0)))="3. Kup",IF(IFERROR(VALUE(LEFT(R25,FIND(":",R25)-1)),0)=0,"",INDEX($I$18:$I$47,IFERROR(VALUE(LEFT(R25,FIND(":",R25)-1)),0)))="2. Kup"),2,IF(IF(IFERROR(VALUE(LEFT(R25,FIND(":",R25)-1)),0)=0,"",INDEX($I$18:$I$47,IFERROR(VALUE(LEFT(R25,FIND(":",R25)-1)),0)))&lt;&gt;"",1,0)))),IF(OR(IF(IFERROR(VALUE(LEFT(S25,FIND(":",S25)-1)),0)=0,"",INDEX($I$18:$I$47,IFERROR(VALUE(LEFT(S25,FIND(":",S25)-1)),0)))="10. Kup",IF(IFERROR(VALUE(LEFT(S25,FIND(":",S25)-1)),0)=0,"",INDEX($I$18:$I$47,IFERROR(VALUE(LEFT(S25,FIND(":",S25)-1)),0)))="9. Kup",IF(IFERROR(VALUE(LEFT(S25,FIND(":",S25)-1)),0)=0,"",INDEX($I$18:$I$47,IFERROR(VALUE(LEFT(S25,FIND(":",S25)-1)),0)))="8. Kup"),4,IF(OR(IF(IFERROR(VALUE(LEFT(S25,FIND(":",S25)-1)),0)=0,"",INDEX($I$18:$I$47,IFERROR(VALUE(LEFT(S25,FIND(":",S25)-1)),0)))="7. Kup",IF(IFERROR(VALUE(LEFT(S25,FIND(":",S25)-1)),0)=0,"",INDEX($I$18:$I$47,IFERROR(VALUE(LEFT(S25,FIND(":",S25)-1)),0)))="6. Kup",IF(IFERROR(VALUE(LEFT(S25,FIND(":",S25)-1)),0)=0,"",INDEX($I$18:$I$47,IFERROR(VALUE(LEFT(S25,FIND(":",S25)-1)),0)))="5. Kup"),3,IF(OR(IF(IFERROR(VALUE(LEFT(S25,FIND(":",S25)-1)),0)=0,"",INDEX($I$18:$I$47,IFERROR(VALUE(LEFT(S25,FIND(":",S25)-1)),0)))="4. Kup",IF(IFERROR(VALUE(LEFT(S25,FIND(":",S25)-1)),0)=0,"",INDEX($I$18:$I$47,IFERROR(VALUE(LEFT(S25,FIND(":",S25)-1)),0)))="3. Kup",IF(IFERROR(VALUE(LEFT(S25,FIND(":",S25)-1)),0)=0,"",INDEX($I$18:$I$47,IFERROR(VALUE(LEFT(S25,FIND(":",S25)-1)),0)))="2. Kup"),2,IF(IF(IFERROR(VALUE(LEFT(S25,FIND(":",S25)-1)),0)=0,"",INDEX($I$18:$I$47,IFERROR(VALUE(LEFT(S25,FIND(":",S25)-1)),0)))&lt;&gt;"",1,0))))),"LK1","LK2","LK3","LK4")))</f>
        <v/>
      </c>
      <c r="U25" s="20"/>
      <c r="V25" s="23"/>
      <c r="W25" s="20"/>
      <c r="X25" s="20"/>
      <c r="Y25" s="12" t="str">
        <f t="shared" si="3"/>
        <v/>
      </c>
      <c r="Z25" s="6"/>
      <c r="AA25" s="6"/>
      <c r="AB25" s="44" t="str">
        <f t="shared" si="4"/>
        <v/>
      </c>
    </row>
    <row r="26" spans="1:28" ht="14.4" x14ac:dyDescent="0.3">
      <c r="A26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6" s="40">
        <v>9</v>
      </c>
      <c r="C26" s="7" t="str">
        <f t="shared" si="0"/>
        <v/>
      </c>
      <c r="D26" s="17"/>
      <c r="E26" s="17"/>
      <c r="F26" s="14"/>
      <c r="G26" s="8" t="str">
        <f t="shared" si="1"/>
        <v/>
      </c>
      <c r="H26" s="18"/>
      <c r="I26" s="19"/>
      <c r="J26" s="8" t="str">
        <f t="shared" si="2"/>
        <v/>
      </c>
      <c r="K26" s="18"/>
      <c r="L26" s="18"/>
      <c r="M26" s="22"/>
      <c r="N26" s="18"/>
      <c r="O26" s="22"/>
      <c r="P26" s="22"/>
      <c r="Q26" s="18"/>
      <c r="R26" s="22"/>
      <c r="S26" s="22"/>
      <c r="T26" s="8" t="str">
        <f t="array" ref="T26">IF(Q26&lt;&gt;"Ja","",IF(R26="","",CHOOSE(MAX(IF(OR(I26="10. Kup",I26="9. Kup",I26="8. Kup"),4,IF(OR(I26="7. Kup",I26="6. Kup",I26="5. Kup"),3,IF(OR(I26="4. Kup",I26="3. Kup",I26="2. Kup"),2,IF(I26&lt;&gt;"",1,0)))),IF(OR(IF(IFERROR(VALUE(LEFT(R26,FIND(":",R26)-1)),0)=0,"",INDEX($I$18:$I$47,IFERROR(VALUE(LEFT(R26,FIND(":",R26)-1)),0)))="10. Kup",IF(IFERROR(VALUE(LEFT(R26,FIND(":",R26)-1)),0)=0,"",INDEX($I$18:$I$47,IFERROR(VALUE(LEFT(R26,FIND(":",R26)-1)),0)))="9. Kup",IF(IFERROR(VALUE(LEFT(R26,FIND(":",R26)-1)),0)=0,"",INDEX($I$18:$I$47,IFERROR(VALUE(LEFT(R26,FIND(":",R26)-1)),0)))="8. Kup"),4,IF(OR(IF(IFERROR(VALUE(LEFT(R26,FIND(":",R26)-1)),0)=0,"",INDEX($I$18:$I$47,IFERROR(VALUE(LEFT(R26,FIND(":",R26)-1)),0)))="7. Kup",IF(IFERROR(VALUE(LEFT(R26,FIND(":",R26)-1)),0)=0,"",INDEX($I$18:$I$47,IFERROR(VALUE(LEFT(R26,FIND(":",R26)-1)),0)))="6. Kup",IF(IFERROR(VALUE(LEFT(R26,FIND(":",R26)-1)),0)=0,"",INDEX($I$18:$I$47,IFERROR(VALUE(LEFT(R26,FIND(":",R26)-1)),0)))="5. Kup"),3,IF(OR(IF(IFERROR(VALUE(LEFT(R26,FIND(":",R26)-1)),0)=0,"",INDEX($I$18:$I$47,IFERROR(VALUE(LEFT(R26,FIND(":",R26)-1)),0)))="4. Kup",IF(IFERROR(VALUE(LEFT(R26,FIND(":",R26)-1)),0)=0,"",INDEX($I$18:$I$47,IFERROR(VALUE(LEFT(R26,FIND(":",R26)-1)),0)))="3. Kup",IF(IFERROR(VALUE(LEFT(R26,FIND(":",R26)-1)),0)=0,"",INDEX($I$18:$I$47,IFERROR(VALUE(LEFT(R26,FIND(":",R26)-1)),0)))="2. Kup"),2,IF(IF(IFERROR(VALUE(LEFT(R26,FIND(":",R26)-1)),0)=0,"",INDEX($I$18:$I$47,IFERROR(VALUE(LEFT(R26,FIND(":",R26)-1)),0)))&lt;&gt;"",1,0)))),IF(OR(IF(IFERROR(VALUE(LEFT(S26,FIND(":",S26)-1)),0)=0,"",INDEX($I$18:$I$47,IFERROR(VALUE(LEFT(S26,FIND(":",S26)-1)),0)))="10. Kup",IF(IFERROR(VALUE(LEFT(S26,FIND(":",S26)-1)),0)=0,"",INDEX($I$18:$I$47,IFERROR(VALUE(LEFT(S26,FIND(":",S26)-1)),0)))="9. Kup",IF(IFERROR(VALUE(LEFT(S26,FIND(":",S26)-1)),0)=0,"",INDEX($I$18:$I$47,IFERROR(VALUE(LEFT(S26,FIND(":",S26)-1)),0)))="8. Kup"),4,IF(OR(IF(IFERROR(VALUE(LEFT(S26,FIND(":",S26)-1)),0)=0,"",INDEX($I$18:$I$47,IFERROR(VALUE(LEFT(S26,FIND(":",S26)-1)),0)))="7. Kup",IF(IFERROR(VALUE(LEFT(S26,FIND(":",S26)-1)),0)=0,"",INDEX($I$18:$I$47,IFERROR(VALUE(LEFT(S26,FIND(":",S26)-1)),0)))="6. Kup",IF(IFERROR(VALUE(LEFT(S26,FIND(":",S26)-1)),0)=0,"",INDEX($I$18:$I$47,IFERROR(VALUE(LEFT(S26,FIND(":",S26)-1)),0)))="5. Kup"),3,IF(OR(IF(IFERROR(VALUE(LEFT(S26,FIND(":",S26)-1)),0)=0,"",INDEX($I$18:$I$47,IFERROR(VALUE(LEFT(S26,FIND(":",S26)-1)),0)))="4. Kup",IF(IFERROR(VALUE(LEFT(S26,FIND(":",S26)-1)),0)=0,"",INDEX($I$18:$I$47,IFERROR(VALUE(LEFT(S26,FIND(":",S26)-1)),0)))="3. Kup",IF(IFERROR(VALUE(LEFT(S26,FIND(":",S26)-1)),0)=0,"",INDEX($I$18:$I$47,IFERROR(VALUE(LEFT(S26,FIND(":",S26)-1)),0)))="2. Kup"),2,IF(IF(IFERROR(VALUE(LEFT(S26,FIND(":",S26)-1)),0)=0,"",INDEX($I$18:$I$47,IFERROR(VALUE(LEFT(S26,FIND(":",S26)-1)),0)))&lt;&gt;"",1,0))))),"LK1","LK2","LK3","LK4")))</f>
        <v/>
      </c>
      <c r="U26" s="18"/>
      <c r="V26" s="22"/>
      <c r="W26" s="18"/>
      <c r="X26" s="18"/>
      <c r="Y26" s="9" t="str">
        <f t="shared" si="3"/>
        <v/>
      </c>
      <c r="Z26" s="6"/>
      <c r="AA26" s="6"/>
      <c r="AB26" s="44" t="str">
        <f t="shared" si="4"/>
        <v/>
      </c>
    </row>
    <row r="27" spans="1:28" ht="14.4" x14ac:dyDescent="0.3">
      <c r="A27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7" s="41">
        <v>10</v>
      </c>
      <c r="C27" s="10" t="str">
        <f t="shared" si="0"/>
        <v/>
      </c>
      <c r="D27" s="15"/>
      <c r="E27" s="15"/>
      <c r="F27" s="16"/>
      <c r="G27" s="11" t="str">
        <f t="shared" si="1"/>
        <v/>
      </c>
      <c r="H27" s="20"/>
      <c r="I27" s="21"/>
      <c r="J27" s="11" t="str">
        <f t="shared" si="2"/>
        <v/>
      </c>
      <c r="K27" s="20"/>
      <c r="L27" s="20"/>
      <c r="M27" s="23"/>
      <c r="N27" s="20"/>
      <c r="O27" s="23"/>
      <c r="P27" s="23"/>
      <c r="Q27" s="20"/>
      <c r="R27" s="23"/>
      <c r="S27" s="23"/>
      <c r="T27" s="11" t="str">
        <f t="array" ref="T27">IF(Q27&lt;&gt;"Ja","",IF(R27="","",CHOOSE(MAX(IF(OR(I27="10. Kup",I27="9. Kup",I27="8. Kup"),4,IF(OR(I27="7. Kup",I27="6. Kup",I27="5. Kup"),3,IF(OR(I27="4. Kup",I27="3. Kup",I27="2. Kup"),2,IF(I27&lt;&gt;"",1,0)))),IF(OR(IF(IFERROR(VALUE(LEFT(R27,FIND(":",R27)-1)),0)=0,"",INDEX($I$18:$I$47,IFERROR(VALUE(LEFT(R27,FIND(":",R27)-1)),0)))="10. Kup",IF(IFERROR(VALUE(LEFT(R27,FIND(":",R27)-1)),0)=0,"",INDEX($I$18:$I$47,IFERROR(VALUE(LEFT(R27,FIND(":",R27)-1)),0)))="9. Kup",IF(IFERROR(VALUE(LEFT(R27,FIND(":",R27)-1)),0)=0,"",INDEX($I$18:$I$47,IFERROR(VALUE(LEFT(R27,FIND(":",R27)-1)),0)))="8. Kup"),4,IF(OR(IF(IFERROR(VALUE(LEFT(R27,FIND(":",R27)-1)),0)=0,"",INDEX($I$18:$I$47,IFERROR(VALUE(LEFT(R27,FIND(":",R27)-1)),0)))="7. Kup",IF(IFERROR(VALUE(LEFT(R27,FIND(":",R27)-1)),0)=0,"",INDEX($I$18:$I$47,IFERROR(VALUE(LEFT(R27,FIND(":",R27)-1)),0)))="6. Kup",IF(IFERROR(VALUE(LEFT(R27,FIND(":",R27)-1)),0)=0,"",INDEX($I$18:$I$47,IFERROR(VALUE(LEFT(R27,FIND(":",R27)-1)),0)))="5. Kup"),3,IF(OR(IF(IFERROR(VALUE(LEFT(R27,FIND(":",R27)-1)),0)=0,"",INDEX($I$18:$I$47,IFERROR(VALUE(LEFT(R27,FIND(":",R27)-1)),0)))="4. Kup",IF(IFERROR(VALUE(LEFT(R27,FIND(":",R27)-1)),0)=0,"",INDEX($I$18:$I$47,IFERROR(VALUE(LEFT(R27,FIND(":",R27)-1)),0)))="3. Kup",IF(IFERROR(VALUE(LEFT(R27,FIND(":",R27)-1)),0)=0,"",INDEX($I$18:$I$47,IFERROR(VALUE(LEFT(R27,FIND(":",R27)-1)),0)))="2. Kup"),2,IF(IF(IFERROR(VALUE(LEFT(R27,FIND(":",R27)-1)),0)=0,"",INDEX($I$18:$I$47,IFERROR(VALUE(LEFT(R27,FIND(":",R27)-1)),0)))&lt;&gt;"",1,0)))),IF(OR(IF(IFERROR(VALUE(LEFT(S27,FIND(":",S27)-1)),0)=0,"",INDEX($I$18:$I$47,IFERROR(VALUE(LEFT(S27,FIND(":",S27)-1)),0)))="10. Kup",IF(IFERROR(VALUE(LEFT(S27,FIND(":",S27)-1)),0)=0,"",INDEX($I$18:$I$47,IFERROR(VALUE(LEFT(S27,FIND(":",S27)-1)),0)))="9. Kup",IF(IFERROR(VALUE(LEFT(S27,FIND(":",S27)-1)),0)=0,"",INDEX($I$18:$I$47,IFERROR(VALUE(LEFT(S27,FIND(":",S27)-1)),0)))="8. Kup"),4,IF(OR(IF(IFERROR(VALUE(LEFT(S27,FIND(":",S27)-1)),0)=0,"",INDEX($I$18:$I$47,IFERROR(VALUE(LEFT(S27,FIND(":",S27)-1)),0)))="7. Kup",IF(IFERROR(VALUE(LEFT(S27,FIND(":",S27)-1)),0)=0,"",INDEX($I$18:$I$47,IFERROR(VALUE(LEFT(S27,FIND(":",S27)-1)),0)))="6. Kup",IF(IFERROR(VALUE(LEFT(S27,FIND(":",S27)-1)),0)=0,"",INDEX($I$18:$I$47,IFERROR(VALUE(LEFT(S27,FIND(":",S27)-1)),0)))="5. Kup"),3,IF(OR(IF(IFERROR(VALUE(LEFT(S27,FIND(":",S27)-1)),0)=0,"",INDEX($I$18:$I$47,IFERROR(VALUE(LEFT(S27,FIND(":",S27)-1)),0)))="4. Kup",IF(IFERROR(VALUE(LEFT(S27,FIND(":",S27)-1)),0)=0,"",INDEX($I$18:$I$47,IFERROR(VALUE(LEFT(S27,FIND(":",S27)-1)),0)))="3. Kup",IF(IFERROR(VALUE(LEFT(S27,FIND(":",S27)-1)),0)=0,"",INDEX($I$18:$I$47,IFERROR(VALUE(LEFT(S27,FIND(":",S27)-1)),0)))="2. Kup"),2,IF(IF(IFERROR(VALUE(LEFT(S27,FIND(":",S27)-1)),0)=0,"",INDEX($I$18:$I$47,IFERROR(VALUE(LEFT(S27,FIND(":",S27)-1)),0)))&lt;&gt;"",1,0))))),"LK1","LK2","LK3","LK4")))</f>
        <v/>
      </c>
      <c r="U27" s="20"/>
      <c r="V27" s="23"/>
      <c r="W27" s="20"/>
      <c r="X27" s="20"/>
      <c r="Y27" s="12" t="str">
        <f t="shared" si="3"/>
        <v/>
      </c>
      <c r="Z27" s="6"/>
      <c r="AA27" s="6"/>
      <c r="AB27" s="44" t="str">
        <f t="shared" si="4"/>
        <v/>
      </c>
    </row>
    <row r="28" spans="1:28" ht="14.4" x14ac:dyDescent="0.3">
      <c r="A28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8" s="40">
        <v>11</v>
      </c>
      <c r="C28" s="7" t="str">
        <f t="shared" si="0"/>
        <v/>
      </c>
      <c r="D28" s="17"/>
      <c r="E28" s="17"/>
      <c r="F28" s="14"/>
      <c r="G28" s="8" t="str">
        <f t="shared" si="1"/>
        <v/>
      </c>
      <c r="H28" s="18"/>
      <c r="I28" s="19"/>
      <c r="J28" s="8" t="str">
        <f t="shared" si="2"/>
        <v/>
      </c>
      <c r="K28" s="18"/>
      <c r="L28" s="18"/>
      <c r="M28" s="22"/>
      <c r="N28" s="18"/>
      <c r="O28" s="22"/>
      <c r="P28" s="22"/>
      <c r="Q28" s="18"/>
      <c r="R28" s="22"/>
      <c r="S28" s="22"/>
      <c r="T28" s="8" t="str">
        <f t="array" ref="T28">IF(Q28&lt;&gt;"Ja","",IF(R28="","",CHOOSE(MAX(IF(OR(I28="10. Kup",I28="9. Kup",I28="8. Kup"),4,IF(OR(I28="7. Kup",I28="6. Kup",I28="5. Kup"),3,IF(OR(I28="4. Kup",I28="3. Kup",I28="2. Kup"),2,IF(I28&lt;&gt;"",1,0)))),IF(OR(IF(IFERROR(VALUE(LEFT(R28,FIND(":",R28)-1)),0)=0,"",INDEX($I$18:$I$47,IFERROR(VALUE(LEFT(R28,FIND(":",R28)-1)),0)))="10. Kup",IF(IFERROR(VALUE(LEFT(R28,FIND(":",R28)-1)),0)=0,"",INDEX($I$18:$I$47,IFERROR(VALUE(LEFT(R28,FIND(":",R28)-1)),0)))="9. Kup",IF(IFERROR(VALUE(LEFT(R28,FIND(":",R28)-1)),0)=0,"",INDEX($I$18:$I$47,IFERROR(VALUE(LEFT(R28,FIND(":",R28)-1)),0)))="8. Kup"),4,IF(OR(IF(IFERROR(VALUE(LEFT(R28,FIND(":",R28)-1)),0)=0,"",INDEX($I$18:$I$47,IFERROR(VALUE(LEFT(R28,FIND(":",R28)-1)),0)))="7. Kup",IF(IFERROR(VALUE(LEFT(R28,FIND(":",R28)-1)),0)=0,"",INDEX($I$18:$I$47,IFERROR(VALUE(LEFT(R28,FIND(":",R28)-1)),0)))="6. Kup",IF(IFERROR(VALUE(LEFT(R28,FIND(":",R28)-1)),0)=0,"",INDEX($I$18:$I$47,IFERROR(VALUE(LEFT(R28,FIND(":",R28)-1)),0)))="5. Kup"),3,IF(OR(IF(IFERROR(VALUE(LEFT(R28,FIND(":",R28)-1)),0)=0,"",INDEX($I$18:$I$47,IFERROR(VALUE(LEFT(R28,FIND(":",R28)-1)),0)))="4. Kup",IF(IFERROR(VALUE(LEFT(R28,FIND(":",R28)-1)),0)=0,"",INDEX($I$18:$I$47,IFERROR(VALUE(LEFT(R28,FIND(":",R28)-1)),0)))="3. Kup",IF(IFERROR(VALUE(LEFT(R28,FIND(":",R28)-1)),0)=0,"",INDEX($I$18:$I$47,IFERROR(VALUE(LEFT(R28,FIND(":",R28)-1)),0)))="2. Kup"),2,IF(IF(IFERROR(VALUE(LEFT(R28,FIND(":",R28)-1)),0)=0,"",INDEX($I$18:$I$47,IFERROR(VALUE(LEFT(R28,FIND(":",R28)-1)),0)))&lt;&gt;"",1,0)))),IF(OR(IF(IFERROR(VALUE(LEFT(S28,FIND(":",S28)-1)),0)=0,"",INDEX($I$18:$I$47,IFERROR(VALUE(LEFT(S28,FIND(":",S28)-1)),0)))="10. Kup",IF(IFERROR(VALUE(LEFT(S28,FIND(":",S28)-1)),0)=0,"",INDEX($I$18:$I$47,IFERROR(VALUE(LEFT(S28,FIND(":",S28)-1)),0)))="9. Kup",IF(IFERROR(VALUE(LEFT(S28,FIND(":",S28)-1)),0)=0,"",INDEX($I$18:$I$47,IFERROR(VALUE(LEFT(S28,FIND(":",S28)-1)),0)))="8. Kup"),4,IF(OR(IF(IFERROR(VALUE(LEFT(S28,FIND(":",S28)-1)),0)=0,"",INDEX($I$18:$I$47,IFERROR(VALUE(LEFT(S28,FIND(":",S28)-1)),0)))="7. Kup",IF(IFERROR(VALUE(LEFT(S28,FIND(":",S28)-1)),0)=0,"",INDEX($I$18:$I$47,IFERROR(VALUE(LEFT(S28,FIND(":",S28)-1)),0)))="6. Kup",IF(IFERROR(VALUE(LEFT(S28,FIND(":",S28)-1)),0)=0,"",INDEX($I$18:$I$47,IFERROR(VALUE(LEFT(S28,FIND(":",S28)-1)),0)))="5. Kup"),3,IF(OR(IF(IFERROR(VALUE(LEFT(S28,FIND(":",S28)-1)),0)=0,"",INDEX($I$18:$I$47,IFERROR(VALUE(LEFT(S28,FIND(":",S28)-1)),0)))="4. Kup",IF(IFERROR(VALUE(LEFT(S28,FIND(":",S28)-1)),0)=0,"",INDEX($I$18:$I$47,IFERROR(VALUE(LEFT(S28,FIND(":",S28)-1)),0)))="3. Kup",IF(IFERROR(VALUE(LEFT(S28,FIND(":",S28)-1)),0)=0,"",INDEX($I$18:$I$47,IFERROR(VALUE(LEFT(S28,FIND(":",S28)-1)),0)))="2. Kup"),2,IF(IF(IFERROR(VALUE(LEFT(S28,FIND(":",S28)-1)),0)=0,"",INDEX($I$18:$I$47,IFERROR(VALUE(LEFT(S28,FIND(":",S28)-1)),0)))&lt;&gt;"",1,0))))),"LK1","LK2","LK3","LK4")))</f>
        <v/>
      </c>
      <c r="U28" s="18"/>
      <c r="V28" s="22"/>
      <c r="W28" s="18"/>
      <c r="X28" s="18"/>
      <c r="Y28" s="9" t="str">
        <f t="shared" si="3"/>
        <v/>
      </c>
      <c r="Z28" s="6"/>
      <c r="AA28" s="6"/>
      <c r="AB28" s="44" t="str">
        <f t="shared" si="4"/>
        <v/>
      </c>
    </row>
    <row r="29" spans="1:28" ht="14.4" x14ac:dyDescent="0.3">
      <c r="A29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29" s="41">
        <v>12</v>
      </c>
      <c r="C29" s="10" t="str">
        <f t="shared" si="0"/>
        <v/>
      </c>
      <c r="D29" s="15"/>
      <c r="E29" s="15"/>
      <c r="F29" s="16"/>
      <c r="G29" s="11" t="str">
        <f t="shared" si="1"/>
        <v/>
      </c>
      <c r="H29" s="20"/>
      <c r="I29" s="21"/>
      <c r="J29" s="11" t="str">
        <f t="shared" si="2"/>
        <v/>
      </c>
      <c r="K29" s="20"/>
      <c r="L29" s="20"/>
      <c r="M29" s="23"/>
      <c r="N29" s="20"/>
      <c r="O29" s="23"/>
      <c r="P29" s="23"/>
      <c r="Q29" s="20"/>
      <c r="R29" s="23"/>
      <c r="S29" s="23"/>
      <c r="T29" s="11" t="str">
        <f t="array" ref="T29">IF(Q29&lt;&gt;"Ja","",IF(R29="","",CHOOSE(MAX(IF(OR(I29="10. Kup",I29="9. Kup",I29="8. Kup"),4,IF(OR(I29="7. Kup",I29="6. Kup",I29="5. Kup"),3,IF(OR(I29="4. Kup",I29="3. Kup",I29="2. Kup"),2,IF(I29&lt;&gt;"",1,0)))),IF(OR(IF(IFERROR(VALUE(LEFT(R29,FIND(":",R29)-1)),0)=0,"",INDEX($I$18:$I$47,IFERROR(VALUE(LEFT(R29,FIND(":",R29)-1)),0)))="10. Kup",IF(IFERROR(VALUE(LEFT(R29,FIND(":",R29)-1)),0)=0,"",INDEX($I$18:$I$47,IFERROR(VALUE(LEFT(R29,FIND(":",R29)-1)),0)))="9. Kup",IF(IFERROR(VALUE(LEFT(R29,FIND(":",R29)-1)),0)=0,"",INDEX($I$18:$I$47,IFERROR(VALUE(LEFT(R29,FIND(":",R29)-1)),0)))="8. Kup"),4,IF(OR(IF(IFERROR(VALUE(LEFT(R29,FIND(":",R29)-1)),0)=0,"",INDEX($I$18:$I$47,IFERROR(VALUE(LEFT(R29,FIND(":",R29)-1)),0)))="7. Kup",IF(IFERROR(VALUE(LEFT(R29,FIND(":",R29)-1)),0)=0,"",INDEX($I$18:$I$47,IFERROR(VALUE(LEFT(R29,FIND(":",R29)-1)),0)))="6. Kup",IF(IFERROR(VALUE(LEFT(R29,FIND(":",R29)-1)),0)=0,"",INDEX($I$18:$I$47,IFERROR(VALUE(LEFT(R29,FIND(":",R29)-1)),0)))="5. Kup"),3,IF(OR(IF(IFERROR(VALUE(LEFT(R29,FIND(":",R29)-1)),0)=0,"",INDEX($I$18:$I$47,IFERROR(VALUE(LEFT(R29,FIND(":",R29)-1)),0)))="4. Kup",IF(IFERROR(VALUE(LEFT(R29,FIND(":",R29)-1)),0)=0,"",INDEX($I$18:$I$47,IFERROR(VALUE(LEFT(R29,FIND(":",R29)-1)),0)))="3. Kup",IF(IFERROR(VALUE(LEFT(R29,FIND(":",R29)-1)),0)=0,"",INDEX($I$18:$I$47,IFERROR(VALUE(LEFT(R29,FIND(":",R29)-1)),0)))="2. Kup"),2,IF(IF(IFERROR(VALUE(LEFT(R29,FIND(":",R29)-1)),0)=0,"",INDEX($I$18:$I$47,IFERROR(VALUE(LEFT(R29,FIND(":",R29)-1)),0)))&lt;&gt;"",1,0)))),IF(OR(IF(IFERROR(VALUE(LEFT(S29,FIND(":",S29)-1)),0)=0,"",INDEX($I$18:$I$47,IFERROR(VALUE(LEFT(S29,FIND(":",S29)-1)),0)))="10. Kup",IF(IFERROR(VALUE(LEFT(S29,FIND(":",S29)-1)),0)=0,"",INDEX($I$18:$I$47,IFERROR(VALUE(LEFT(S29,FIND(":",S29)-1)),0)))="9. Kup",IF(IFERROR(VALUE(LEFT(S29,FIND(":",S29)-1)),0)=0,"",INDEX($I$18:$I$47,IFERROR(VALUE(LEFT(S29,FIND(":",S29)-1)),0)))="8. Kup"),4,IF(OR(IF(IFERROR(VALUE(LEFT(S29,FIND(":",S29)-1)),0)=0,"",INDEX($I$18:$I$47,IFERROR(VALUE(LEFT(S29,FIND(":",S29)-1)),0)))="7. Kup",IF(IFERROR(VALUE(LEFT(S29,FIND(":",S29)-1)),0)=0,"",INDEX($I$18:$I$47,IFERROR(VALUE(LEFT(S29,FIND(":",S29)-1)),0)))="6. Kup",IF(IFERROR(VALUE(LEFT(S29,FIND(":",S29)-1)),0)=0,"",INDEX($I$18:$I$47,IFERROR(VALUE(LEFT(S29,FIND(":",S29)-1)),0)))="5. Kup"),3,IF(OR(IF(IFERROR(VALUE(LEFT(S29,FIND(":",S29)-1)),0)=0,"",INDEX($I$18:$I$47,IFERROR(VALUE(LEFT(S29,FIND(":",S29)-1)),0)))="4. Kup",IF(IFERROR(VALUE(LEFT(S29,FIND(":",S29)-1)),0)=0,"",INDEX($I$18:$I$47,IFERROR(VALUE(LEFT(S29,FIND(":",S29)-1)),0)))="3. Kup",IF(IFERROR(VALUE(LEFT(S29,FIND(":",S29)-1)),0)=0,"",INDEX($I$18:$I$47,IFERROR(VALUE(LEFT(S29,FIND(":",S29)-1)),0)))="2. Kup"),2,IF(IF(IFERROR(VALUE(LEFT(S29,FIND(":",S29)-1)),0)=0,"",INDEX($I$18:$I$47,IFERROR(VALUE(LEFT(S29,FIND(":",S29)-1)),0)))&lt;&gt;"",1,0))))),"LK1","LK2","LK3","LK4")))</f>
        <v/>
      </c>
      <c r="U29" s="20"/>
      <c r="V29" s="23"/>
      <c r="W29" s="20"/>
      <c r="X29" s="20"/>
      <c r="Y29" s="12" t="str">
        <f t="shared" si="3"/>
        <v/>
      </c>
      <c r="Z29" s="6"/>
      <c r="AA29" s="6"/>
      <c r="AB29" s="44" t="str">
        <f t="shared" si="4"/>
        <v/>
      </c>
    </row>
    <row r="30" spans="1:28" ht="14.4" x14ac:dyDescent="0.3">
      <c r="A30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0" s="40">
        <v>13</v>
      </c>
      <c r="C30" s="7" t="str">
        <f t="shared" si="0"/>
        <v/>
      </c>
      <c r="D30" s="17"/>
      <c r="E30" s="17"/>
      <c r="F30" s="14"/>
      <c r="G30" s="8" t="str">
        <f t="shared" si="1"/>
        <v/>
      </c>
      <c r="H30" s="18"/>
      <c r="I30" s="19"/>
      <c r="J30" s="8" t="str">
        <f t="shared" si="2"/>
        <v/>
      </c>
      <c r="K30" s="18"/>
      <c r="L30" s="18"/>
      <c r="M30" s="22"/>
      <c r="N30" s="18"/>
      <c r="O30" s="22"/>
      <c r="P30" s="22"/>
      <c r="Q30" s="18"/>
      <c r="R30" s="22"/>
      <c r="S30" s="22"/>
      <c r="T30" s="8" t="str">
        <f t="array" ref="T30">IF(Q30&lt;&gt;"Ja","",IF(R30="","",CHOOSE(MAX(IF(OR(I30="10. Kup",I30="9. Kup",I30="8. Kup"),4,IF(OR(I30="7. Kup",I30="6. Kup",I30="5. Kup"),3,IF(OR(I30="4. Kup",I30="3. Kup",I30="2. Kup"),2,IF(I30&lt;&gt;"",1,0)))),IF(OR(IF(IFERROR(VALUE(LEFT(R30,FIND(":",R30)-1)),0)=0,"",INDEX($I$18:$I$47,IFERROR(VALUE(LEFT(R30,FIND(":",R30)-1)),0)))="10. Kup",IF(IFERROR(VALUE(LEFT(R30,FIND(":",R30)-1)),0)=0,"",INDEX($I$18:$I$47,IFERROR(VALUE(LEFT(R30,FIND(":",R30)-1)),0)))="9. Kup",IF(IFERROR(VALUE(LEFT(R30,FIND(":",R30)-1)),0)=0,"",INDEX($I$18:$I$47,IFERROR(VALUE(LEFT(R30,FIND(":",R30)-1)),0)))="8. Kup"),4,IF(OR(IF(IFERROR(VALUE(LEFT(R30,FIND(":",R30)-1)),0)=0,"",INDEX($I$18:$I$47,IFERROR(VALUE(LEFT(R30,FIND(":",R30)-1)),0)))="7. Kup",IF(IFERROR(VALUE(LEFT(R30,FIND(":",R30)-1)),0)=0,"",INDEX($I$18:$I$47,IFERROR(VALUE(LEFT(R30,FIND(":",R30)-1)),0)))="6. Kup",IF(IFERROR(VALUE(LEFT(R30,FIND(":",R30)-1)),0)=0,"",INDEX($I$18:$I$47,IFERROR(VALUE(LEFT(R30,FIND(":",R30)-1)),0)))="5. Kup"),3,IF(OR(IF(IFERROR(VALUE(LEFT(R30,FIND(":",R30)-1)),0)=0,"",INDEX($I$18:$I$47,IFERROR(VALUE(LEFT(R30,FIND(":",R30)-1)),0)))="4. Kup",IF(IFERROR(VALUE(LEFT(R30,FIND(":",R30)-1)),0)=0,"",INDEX($I$18:$I$47,IFERROR(VALUE(LEFT(R30,FIND(":",R30)-1)),0)))="3. Kup",IF(IFERROR(VALUE(LEFT(R30,FIND(":",R30)-1)),0)=0,"",INDEX($I$18:$I$47,IFERROR(VALUE(LEFT(R30,FIND(":",R30)-1)),0)))="2. Kup"),2,IF(IF(IFERROR(VALUE(LEFT(R30,FIND(":",R30)-1)),0)=0,"",INDEX($I$18:$I$47,IFERROR(VALUE(LEFT(R30,FIND(":",R30)-1)),0)))&lt;&gt;"",1,0)))),IF(OR(IF(IFERROR(VALUE(LEFT(S30,FIND(":",S30)-1)),0)=0,"",INDEX($I$18:$I$47,IFERROR(VALUE(LEFT(S30,FIND(":",S30)-1)),0)))="10. Kup",IF(IFERROR(VALUE(LEFT(S30,FIND(":",S30)-1)),0)=0,"",INDEX($I$18:$I$47,IFERROR(VALUE(LEFT(S30,FIND(":",S30)-1)),0)))="9. Kup",IF(IFERROR(VALUE(LEFT(S30,FIND(":",S30)-1)),0)=0,"",INDEX($I$18:$I$47,IFERROR(VALUE(LEFT(S30,FIND(":",S30)-1)),0)))="8. Kup"),4,IF(OR(IF(IFERROR(VALUE(LEFT(S30,FIND(":",S30)-1)),0)=0,"",INDEX($I$18:$I$47,IFERROR(VALUE(LEFT(S30,FIND(":",S30)-1)),0)))="7. Kup",IF(IFERROR(VALUE(LEFT(S30,FIND(":",S30)-1)),0)=0,"",INDEX($I$18:$I$47,IFERROR(VALUE(LEFT(S30,FIND(":",S30)-1)),0)))="6. Kup",IF(IFERROR(VALUE(LEFT(S30,FIND(":",S30)-1)),0)=0,"",INDEX($I$18:$I$47,IFERROR(VALUE(LEFT(S30,FIND(":",S30)-1)),0)))="5. Kup"),3,IF(OR(IF(IFERROR(VALUE(LEFT(S30,FIND(":",S30)-1)),0)=0,"",INDEX($I$18:$I$47,IFERROR(VALUE(LEFT(S30,FIND(":",S30)-1)),0)))="4. Kup",IF(IFERROR(VALUE(LEFT(S30,FIND(":",S30)-1)),0)=0,"",INDEX($I$18:$I$47,IFERROR(VALUE(LEFT(S30,FIND(":",S30)-1)),0)))="3. Kup",IF(IFERROR(VALUE(LEFT(S30,FIND(":",S30)-1)),0)=0,"",INDEX($I$18:$I$47,IFERROR(VALUE(LEFT(S30,FIND(":",S30)-1)),0)))="2. Kup"),2,IF(IF(IFERROR(VALUE(LEFT(S30,FIND(":",S30)-1)),0)=0,"",INDEX($I$18:$I$47,IFERROR(VALUE(LEFT(S30,FIND(":",S30)-1)),0)))&lt;&gt;"",1,0))))),"LK1","LK2","LK3","LK4")))</f>
        <v/>
      </c>
      <c r="U30" s="18"/>
      <c r="V30" s="22"/>
      <c r="W30" s="18"/>
      <c r="X30" s="18"/>
      <c r="Y30" s="9" t="str">
        <f t="shared" si="3"/>
        <v/>
      </c>
      <c r="Z30" s="6"/>
      <c r="AA30" s="6"/>
      <c r="AB30" s="44" t="str">
        <f t="shared" si="4"/>
        <v/>
      </c>
    </row>
    <row r="31" spans="1:28" ht="14.4" x14ac:dyDescent="0.3">
      <c r="A31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1" s="41">
        <v>14</v>
      </c>
      <c r="C31" s="10" t="str">
        <f t="shared" si="0"/>
        <v/>
      </c>
      <c r="D31" s="15"/>
      <c r="E31" s="15"/>
      <c r="F31" s="16"/>
      <c r="G31" s="11" t="str">
        <f t="shared" si="1"/>
        <v/>
      </c>
      <c r="H31" s="20"/>
      <c r="I31" s="21"/>
      <c r="J31" s="11" t="str">
        <f t="shared" si="2"/>
        <v/>
      </c>
      <c r="K31" s="20"/>
      <c r="L31" s="20"/>
      <c r="M31" s="23"/>
      <c r="N31" s="20"/>
      <c r="O31" s="23"/>
      <c r="P31" s="23"/>
      <c r="Q31" s="20"/>
      <c r="R31" s="23"/>
      <c r="S31" s="23"/>
      <c r="T31" s="11" t="str">
        <f t="array" ref="T31">IF(Q31&lt;&gt;"Ja","",IF(R31="","",CHOOSE(MAX(IF(OR(I31="10. Kup",I31="9. Kup",I31="8. Kup"),4,IF(OR(I31="7. Kup",I31="6. Kup",I31="5. Kup"),3,IF(OR(I31="4. Kup",I31="3. Kup",I31="2. Kup"),2,IF(I31&lt;&gt;"",1,0)))),IF(OR(IF(IFERROR(VALUE(LEFT(R31,FIND(":",R31)-1)),0)=0,"",INDEX($I$18:$I$47,IFERROR(VALUE(LEFT(R31,FIND(":",R31)-1)),0)))="10. Kup",IF(IFERROR(VALUE(LEFT(R31,FIND(":",R31)-1)),0)=0,"",INDEX($I$18:$I$47,IFERROR(VALUE(LEFT(R31,FIND(":",R31)-1)),0)))="9. Kup",IF(IFERROR(VALUE(LEFT(R31,FIND(":",R31)-1)),0)=0,"",INDEX($I$18:$I$47,IFERROR(VALUE(LEFT(R31,FIND(":",R31)-1)),0)))="8. Kup"),4,IF(OR(IF(IFERROR(VALUE(LEFT(R31,FIND(":",R31)-1)),0)=0,"",INDEX($I$18:$I$47,IFERROR(VALUE(LEFT(R31,FIND(":",R31)-1)),0)))="7. Kup",IF(IFERROR(VALUE(LEFT(R31,FIND(":",R31)-1)),0)=0,"",INDEX($I$18:$I$47,IFERROR(VALUE(LEFT(R31,FIND(":",R31)-1)),0)))="6. Kup",IF(IFERROR(VALUE(LEFT(R31,FIND(":",R31)-1)),0)=0,"",INDEX($I$18:$I$47,IFERROR(VALUE(LEFT(R31,FIND(":",R31)-1)),0)))="5. Kup"),3,IF(OR(IF(IFERROR(VALUE(LEFT(R31,FIND(":",R31)-1)),0)=0,"",INDEX($I$18:$I$47,IFERROR(VALUE(LEFT(R31,FIND(":",R31)-1)),0)))="4. Kup",IF(IFERROR(VALUE(LEFT(R31,FIND(":",R31)-1)),0)=0,"",INDEX($I$18:$I$47,IFERROR(VALUE(LEFT(R31,FIND(":",R31)-1)),0)))="3. Kup",IF(IFERROR(VALUE(LEFT(R31,FIND(":",R31)-1)),0)=0,"",INDEX($I$18:$I$47,IFERROR(VALUE(LEFT(R31,FIND(":",R31)-1)),0)))="2. Kup"),2,IF(IF(IFERROR(VALUE(LEFT(R31,FIND(":",R31)-1)),0)=0,"",INDEX($I$18:$I$47,IFERROR(VALUE(LEFT(R31,FIND(":",R31)-1)),0)))&lt;&gt;"",1,0)))),IF(OR(IF(IFERROR(VALUE(LEFT(S31,FIND(":",S31)-1)),0)=0,"",INDEX($I$18:$I$47,IFERROR(VALUE(LEFT(S31,FIND(":",S31)-1)),0)))="10. Kup",IF(IFERROR(VALUE(LEFT(S31,FIND(":",S31)-1)),0)=0,"",INDEX($I$18:$I$47,IFERROR(VALUE(LEFT(S31,FIND(":",S31)-1)),0)))="9. Kup",IF(IFERROR(VALUE(LEFT(S31,FIND(":",S31)-1)),0)=0,"",INDEX($I$18:$I$47,IFERROR(VALUE(LEFT(S31,FIND(":",S31)-1)),0)))="8. Kup"),4,IF(OR(IF(IFERROR(VALUE(LEFT(S31,FIND(":",S31)-1)),0)=0,"",INDEX($I$18:$I$47,IFERROR(VALUE(LEFT(S31,FIND(":",S31)-1)),0)))="7. Kup",IF(IFERROR(VALUE(LEFT(S31,FIND(":",S31)-1)),0)=0,"",INDEX($I$18:$I$47,IFERROR(VALUE(LEFT(S31,FIND(":",S31)-1)),0)))="6. Kup",IF(IFERROR(VALUE(LEFT(S31,FIND(":",S31)-1)),0)=0,"",INDEX($I$18:$I$47,IFERROR(VALUE(LEFT(S31,FIND(":",S31)-1)),0)))="5. Kup"),3,IF(OR(IF(IFERROR(VALUE(LEFT(S31,FIND(":",S31)-1)),0)=0,"",INDEX($I$18:$I$47,IFERROR(VALUE(LEFT(S31,FIND(":",S31)-1)),0)))="4. Kup",IF(IFERROR(VALUE(LEFT(S31,FIND(":",S31)-1)),0)=0,"",INDEX($I$18:$I$47,IFERROR(VALUE(LEFT(S31,FIND(":",S31)-1)),0)))="3. Kup",IF(IFERROR(VALUE(LEFT(S31,FIND(":",S31)-1)),0)=0,"",INDEX($I$18:$I$47,IFERROR(VALUE(LEFT(S31,FIND(":",S31)-1)),0)))="2. Kup"),2,IF(IF(IFERROR(VALUE(LEFT(S31,FIND(":",S31)-1)),0)=0,"",INDEX($I$18:$I$47,IFERROR(VALUE(LEFT(S31,FIND(":",S31)-1)),0)))&lt;&gt;"",1,0))))),"LK1","LK2","LK3","LK4")))</f>
        <v/>
      </c>
      <c r="U31" s="20"/>
      <c r="V31" s="23"/>
      <c r="W31" s="20"/>
      <c r="X31" s="20"/>
      <c r="Y31" s="12" t="str">
        <f t="shared" si="3"/>
        <v/>
      </c>
      <c r="Z31" s="6"/>
      <c r="AA31" s="6"/>
      <c r="AB31" s="44" t="str">
        <f t="shared" si="4"/>
        <v/>
      </c>
    </row>
    <row r="32" spans="1:28" ht="14.4" x14ac:dyDescent="0.3">
      <c r="A32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2" s="40">
        <v>15</v>
      </c>
      <c r="C32" s="7" t="str">
        <f t="shared" si="0"/>
        <v/>
      </c>
      <c r="D32" s="17"/>
      <c r="E32" s="17"/>
      <c r="F32" s="14"/>
      <c r="G32" s="8" t="str">
        <f t="shared" si="1"/>
        <v/>
      </c>
      <c r="H32" s="18"/>
      <c r="I32" s="19"/>
      <c r="J32" s="8" t="str">
        <f t="shared" si="2"/>
        <v/>
      </c>
      <c r="K32" s="18"/>
      <c r="L32" s="18"/>
      <c r="M32" s="22"/>
      <c r="N32" s="18"/>
      <c r="O32" s="22"/>
      <c r="P32" s="22"/>
      <c r="Q32" s="18"/>
      <c r="R32" s="22"/>
      <c r="S32" s="22"/>
      <c r="T32" s="8" t="str">
        <f t="array" ref="T32">IF(Q32&lt;&gt;"Ja","",IF(R32="","",CHOOSE(MAX(IF(OR(I32="10. Kup",I32="9. Kup",I32="8. Kup"),4,IF(OR(I32="7. Kup",I32="6. Kup",I32="5. Kup"),3,IF(OR(I32="4. Kup",I32="3. Kup",I32="2. Kup"),2,IF(I32&lt;&gt;"",1,0)))),IF(OR(IF(IFERROR(VALUE(LEFT(R32,FIND(":",R32)-1)),0)=0,"",INDEX($I$18:$I$47,IFERROR(VALUE(LEFT(R32,FIND(":",R32)-1)),0)))="10. Kup",IF(IFERROR(VALUE(LEFT(R32,FIND(":",R32)-1)),0)=0,"",INDEX($I$18:$I$47,IFERROR(VALUE(LEFT(R32,FIND(":",R32)-1)),0)))="9. Kup",IF(IFERROR(VALUE(LEFT(R32,FIND(":",R32)-1)),0)=0,"",INDEX($I$18:$I$47,IFERROR(VALUE(LEFT(R32,FIND(":",R32)-1)),0)))="8. Kup"),4,IF(OR(IF(IFERROR(VALUE(LEFT(R32,FIND(":",R32)-1)),0)=0,"",INDEX($I$18:$I$47,IFERROR(VALUE(LEFT(R32,FIND(":",R32)-1)),0)))="7. Kup",IF(IFERROR(VALUE(LEFT(R32,FIND(":",R32)-1)),0)=0,"",INDEX($I$18:$I$47,IFERROR(VALUE(LEFT(R32,FIND(":",R32)-1)),0)))="6. Kup",IF(IFERROR(VALUE(LEFT(R32,FIND(":",R32)-1)),0)=0,"",INDEX($I$18:$I$47,IFERROR(VALUE(LEFT(R32,FIND(":",R32)-1)),0)))="5. Kup"),3,IF(OR(IF(IFERROR(VALUE(LEFT(R32,FIND(":",R32)-1)),0)=0,"",INDEX($I$18:$I$47,IFERROR(VALUE(LEFT(R32,FIND(":",R32)-1)),0)))="4. Kup",IF(IFERROR(VALUE(LEFT(R32,FIND(":",R32)-1)),0)=0,"",INDEX($I$18:$I$47,IFERROR(VALUE(LEFT(R32,FIND(":",R32)-1)),0)))="3. Kup",IF(IFERROR(VALUE(LEFT(R32,FIND(":",R32)-1)),0)=0,"",INDEX($I$18:$I$47,IFERROR(VALUE(LEFT(R32,FIND(":",R32)-1)),0)))="2. Kup"),2,IF(IF(IFERROR(VALUE(LEFT(R32,FIND(":",R32)-1)),0)=0,"",INDEX($I$18:$I$47,IFERROR(VALUE(LEFT(R32,FIND(":",R32)-1)),0)))&lt;&gt;"",1,0)))),IF(OR(IF(IFERROR(VALUE(LEFT(S32,FIND(":",S32)-1)),0)=0,"",INDEX($I$18:$I$47,IFERROR(VALUE(LEFT(S32,FIND(":",S32)-1)),0)))="10. Kup",IF(IFERROR(VALUE(LEFT(S32,FIND(":",S32)-1)),0)=0,"",INDEX($I$18:$I$47,IFERROR(VALUE(LEFT(S32,FIND(":",S32)-1)),0)))="9. Kup",IF(IFERROR(VALUE(LEFT(S32,FIND(":",S32)-1)),0)=0,"",INDEX($I$18:$I$47,IFERROR(VALUE(LEFT(S32,FIND(":",S32)-1)),0)))="8. Kup"),4,IF(OR(IF(IFERROR(VALUE(LEFT(S32,FIND(":",S32)-1)),0)=0,"",INDEX($I$18:$I$47,IFERROR(VALUE(LEFT(S32,FIND(":",S32)-1)),0)))="7. Kup",IF(IFERROR(VALUE(LEFT(S32,FIND(":",S32)-1)),0)=0,"",INDEX($I$18:$I$47,IFERROR(VALUE(LEFT(S32,FIND(":",S32)-1)),0)))="6. Kup",IF(IFERROR(VALUE(LEFT(S32,FIND(":",S32)-1)),0)=0,"",INDEX($I$18:$I$47,IFERROR(VALUE(LEFT(S32,FIND(":",S32)-1)),0)))="5. Kup"),3,IF(OR(IF(IFERROR(VALUE(LEFT(S32,FIND(":",S32)-1)),0)=0,"",INDEX($I$18:$I$47,IFERROR(VALUE(LEFT(S32,FIND(":",S32)-1)),0)))="4. Kup",IF(IFERROR(VALUE(LEFT(S32,FIND(":",S32)-1)),0)=0,"",INDEX($I$18:$I$47,IFERROR(VALUE(LEFT(S32,FIND(":",S32)-1)),0)))="3. Kup",IF(IFERROR(VALUE(LEFT(S32,FIND(":",S32)-1)),0)=0,"",INDEX($I$18:$I$47,IFERROR(VALUE(LEFT(S32,FIND(":",S32)-1)),0)))="2. Kup"),2,IF(IF(IFERROR(VALUE(LEFT(S32,FIND(":",S32)-1)),0)=0,"",INDEX($I$18:$I$47,IFERROR(VALUE(LEFT(S32,FIND(":",S32)-1)),0)))&lt;&gt;"",1,0))))),"LK1","LK2","LK3","LK4")))</f>
        <v/>
      </c>
      <c r="U32" s="18"/>
      <c r="V32" s="22"/>
      <c r="W32" s="18"/>
      <c r="X32" s="18"/>
      <c r="Y32" s="9" t="str">
        <f t="shared" si="3"/>
        <v/>
      </c>
      <c r="Z32" s="6"/>
      <c r="AA32" s="6"/>
      <c r="AB32" s="44" t="str">
        <f t="shared" si="4"/>
        <v/>
      </c>
    </row>
    <row r="33" spans="1:28" ht="14.4" x14ac:dyDescent="0.3">
      <c r="A33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3" s="41">
        <v>16</v>
      </c>
      <c r="C33" s="10" t="str">
        <f t="shared" si="0"/>
        <v/>
      </c>
      <c r="D33" s="15"/>
      <c r="E33" s="15"/>
      <c r="F33" s="16"/>
      <c r="G33" s="11" t="str">
        <f t="shared" si="1"/>
        <v/>
      </c>
      <c r="H33" s="20"/>
      <c r="I33" s="21"/>
      <c r="J33" s="11" t="str">
        <f t="shared" si="2"/>
        <v/>
      </c>
      <c r="K33" s="20"/>
      <c r="L33" s="20"/>
      <c r="M33" s="23"/>
      <c r="N33" s="20"/>
      <c r="O33" s="23"/>
      <c r="P33" s="23"/>
      <c r="Q33" s="20"/>
      <c r="R33" s="23"/>
      <c r="S33" s="23"/>
      <c r="T33" s="11" t="str">
        <f t="array" ref="T33">IF(Q33&lt;&gt;"Ja","",IF(R33="","",CHOOSE(MAX(IF(OR(I33="10. Kup",I33="9. Kup",I33="8. Kup"),4,IF(OR(I33="7. Kup",I33="6. Kup",I33="5. Kup"),3,IF(OR(I33="4. Kup",I33="3. Kup",I33="2. Kup"),2,IF(I33&lt;&gt;"",1,0)))),IF(OR(IF(IFERROR(VALUE(LEFT(R33,FIND(":",R33)-1)),0)=0,"",INDEX($I$18:$I$47,IFERROR(VALUE(LEFT(R33,FIND(":",R33)-1)),0)))="10. Kup",IF(IFERROR(VALUE(LEFT(R33,FIND(":",R33)-1)),0)=0,"",INDEX($I$18:$I$47,IFERROR(VALUE(LEFT(R33,FIND(":",R33)-1)),0)))="9. Kup",IF(IFERROR(VALUE(LEFT(R33,FIND(":",R33)-1)),0)=0,"",INDEX($I$18:$I$47,IFERROR(VALUE(LEFT(R33,FIND(":",R33)-1)),0)))="8. Kup"),4,IF(OR(IF(IFERROR(VALUE(LEFT(R33,FIND(":",R33)-1)),0)=0,"",INDEX($I$18:$I$47,IFERROR(VALUE(LEFT(R33,FIND(":",R33)-1)),0)))="7. Kup",IF(IFERROR(VALUE(LEFT(R33,FIND(":",R33)-1)),0)=0,"",INDEX($I$18:$I$47,IFERROR(VALUE(LEFT(R33,FIND(":",R33)-1)),0)))="6. Kup",IF(IFERROR(VALUE(LEFT(R33,FIND(":",R33)-1)),0)=0,"",INDEX($I$18:$I$47,IFERROR(VALUE(LEFT(R33,FIND(":",R33)-1)),0)))="5. Kup"),3,IF(OR(IF(IFERROR(VALUE(LEFT(R33,FIND(":",R33)-1)),0)=0,"",INDEX($I$18:$I$47,IFERROR(VALUE(LEFT(R33,FIND(":",R33)-1)),0)))="4. Kup",IF(IFERROR(VALUE(LEFT(R33,FIND(":",R33)-1)),0)=0,"",INDEX($I$18:$I$47,IFERROR(VALUE(LEFT(R33,FIND(":",R33)-1)),0)))="3. Kup",IF(IFERROR(VALUE(LEFT(R33,FIND(":",R33)-1)),0)=0,"",INDEX($I$18:$I$47,IFERROR(VALUE(LEFT(R33,FIND(":",R33)-1)),0)))="2. Kup"),2,IF(IF(IFERROR(VALUE(LEFT(R33,FIND(":",R33)-1)),0)=0,"",INDEX($I$18:$I$47,IFERROR(VALUE(LEFT(R33,FIND(":",R33)-1)),0)))&lt;&gt;"",1,0)))),IF(OR(IF(IFERROR(VALUE(LEFT(S33,FIND(":",S33)-1)),0)=0,"",INDEX($I$18:$I$47,IFERROR(VALUE(LEFT(S33,FIND(":",S33)-1)),0)))="10. Kup",IF(IFERROR(VALUE(LEFT(S33,FIND(":",S33)-1)),0)=0,"",INDEX($I$18:$I$47,IFERROR(VALUE(LEFT(S33,FIND(":",S33)-1)),0)))="9. Kup",IF(IFERROR(VALUE(LEFT(S33,FIND(":",S33)-1)),0)=0,"",INDEX($I$18:$I$47,IFERROR(VALUE(LEFT(S33,FIND(":",S33)-1)),0)))="8. Kup"),4,IF(OR(IF(IFERROR(VALUE(LEFT(S33,FIND(":",S33)-1)),0)=0,"",INDEX($I$18:$I$47,IFERROR(VALUE(LEFT(S33,FIND(":",S33)-1)),0)))="7. Kup",IF(IFERROR(VALUE(LEFT(S33,FIND(":",S33)-1)),0)=0,"",INDEX($I$18:$I$47,IFERROR(VALUE(LEFT(S33,FIND(":",S33)-1)),0)))="6. Kup",IF(IFERROR(VALUE(LEFT(S33,FIND(":",S33)-1)),0)=0,"",INDEX($I$18:$I$47,IFERROR(VALUE(LEFT(S33,FIND(":",S33)-1)),0)))="5. Kup"),3,IF(OR(IF(IFERROR(VALUE(LEFT(S33,FIND(":",S33)-1)),0)=0,"",INDEX($I$18:$I$47,IFERROR(VALUE(LEFT(S33,FIND(":",S33)-1)),0)))="4. Kup",IF(IFERROR(VALUE(LEFT(S33,FIND(":",S33)-1)),0)=0,"",INDEX($I$18:$I$47,IFERROR(VALUE(LEFT(S33,FIND(":",S33)-1)),0)))="3. Kup",IF(IFERROR(VALUE(LEFT(S33,FIND(":",S33)-1)),0)=0,"",INDEX($I$18:$I$47,IFERROR(VALUE(LEFT(S33,FIND(":",S33)-1)),0)))="2. Kup"),2,IF(IF(IFERROR(VALUE(LEFT(S33,FIND(":",S33)-1)),0)=0,"",INDEX($I$18:$I$47,IFERROR(VALUE(LEFT(S33,FIND(":",S33)-1)),0)))&lt;&gt;"",1,0))))),"LK1","LK2","LK3","LK4")))</f>
        <v/>
      </c>
      <c r="U33" s="20"/>
      <c r="V33" s="23"/>
      <c r="W33" s="20"/>
      <c r="X33" s="20"/>
      <c r="Y33" s="12" t="str">
        <f t="shared" si="3"/>
        <v/>
      </c>
      <c r="Z33" s="6"/>
      <c r="AA33" s="6"/>
      <c r="AB33" s="44" t="str">
        <f t="shared" si="4"/>
        <v/>
      </c>
    </row>
    <row r="34" spans="1:28" ht="14.4" x14ac:dyDescent="0.3">
      <c r="A34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4" s="40">
        <v>17</v>
      </c>
      <c r="C34" s="7" t="str">
        <f t="shared" si="0"/>
        <v/>
      </c>
      <c r="D34" s="17"/>
      <c r="E34" s="17"/>
      <c r="F34" s="14"/>
      <c r="G34" s="8" t="str">
        <f t="shared" si="1"/>
        <v/>
      </c>
      <c r="H34" s="18"/>
      <c r="I34" s="19"/>
      <c r="J34" s="8" t="str">
        <f t="shared" si="2"/>
        <v/>
      </c>
      <c r="K34" s="18"/>
      <c r="L34" s="18"/>
      <c r="M34" s="22"/>
      <c r="N34" s="18"/>
      <c r="O34" s="22"/>
      <c r="P34" s="22"/>
      <c r="Q34" s="18"/>
      <c r="R34" s="22"/>
      <c r="S34" s="22"/>
      <c r="T34" s="8" t="str">
        <f t="array" ref="T34">IF(Q34&lt;&gt;"Ja","",IF(R34="","",CHOOSE(MAX(IF(OR(I34="10. Kup",I34="9. Kup",I34="8. Kup"),4,IF(OR(I34="7. Kup",I34="6. Kup",I34="5. Kup"),3,IF(OR(I34="4. Kup",I34="3. Kup",I34="2. Kup"),2,IF(I34&lt;&gt;"",1,0)))),IF(OR(IF(IFERROR(VALUE(LEFT(R34,FIND(":",R34)-1)),0)=0,"",INDEX($I$18:$I$47,IFERROR(VALUE(LEFT(R34,FIND(":",R34)-1)),0)))="10. Kup",IF(IFERROR(VALUE(LEFT(R34,FIND(":",R34)-1)),0)=0,"",INDEX($I$18:$I$47,IFERROR(VALUE(LEFT(R34,FIND(":",R34)-1)),0)))="9. Kup",IF(IFERROR(VALUE(LEFT(R34,FIND(":",R34)-1)),0)=0,"",INDEX($I$18:$I$47,IFERROR(VALUE(LEFT(R34,FIND(":",R34)-1)),0)))="8. Kup"),4,IF(OR(IF(IFERROR(VALUE(LEFT(R34,FIND(":",R34)-1)),0)=0,"",INDEX($I$18:$I$47,IFERROR(VALUE(LEFT(R34,FIND(":",R34)-1)),0)))="7. Kup",IF(IFERROR(VALUE(LEFT(R34,FIND(":",R34)-1)),0)=0,"",INDEX($I$18:$I$47,IFERROR(VALUE(LEFT(R34,FIND(":",R34)-1)),0)))="6. Kup",IF(IFERROR(VALUE(LEFT(R34,FIND(":",R34)-1)),0)=0,"",INDEX($I$18:$I$47,IFERROR(VALUE(LEFT(R34,FIND(":",R34)-1)),0)))="5. Kup"),3,IF(OR(IF(IFERROR(VALUE(LEFT(R34,FIND(":",R34)-1)),0)=0,"",INDEX($I$18:$I$47,IFERROR(VALUE(LEFT(R34,FIND(":",R34)-1)),0)))="4. Kup",IF(IFERROR(VALUE(LEFT(R34,FIND(":",R34)-1)),0)=0,"",INDEX($I$18:$I$47,IFERROR(VALUE(LEFT(R34,FIND(":",R34)-1)),0)))="3. Kup",IF(IFERROR(VALUE(LEFT(R34,FIND(":",R34)-1)),0)=0,"",INDEX($I$18:$I$47,IFERROR(VALUE(LEFT(R34,FIND(":",R34)-1)),0)))="2. Kup"),2,IF(IF(IFERROR(VALUE(LEFT(R34,FIND(":",R34)-1)),0)=0,"",INDEX($I$18:$I$47,IFERROR(VALUE(LEFT(R34,FIND(":",R34)-1)),0)))&lt;&gt;"",1,0)))),IF(OR(IF(IFERROR(VALUE(LEFT(S34,FIND(":",S34)-1)),0)=0,"",INDEX($I$18:$I$47,IFERROR(VALUE(LEFT(S34,FIND(":",S34)-1)),0)))="10. Kup",IF(IFERROR(VALUE(LEFT(S34,FIND(":",S34)-1)),0)=0,"",INDEX($I$18:$I$47,IFERROR(VALUE(LEFT(S34,FIND(":",S34)-1)),0)))="9. Kup",IF(IFERROR(VALUE(LEFT(S34,FIND(":",S34)-1)),0)=0,"",INDEX($I$18:$I$47,IFERROR(VALUE(LEFT(S34,FIND(":",S34)-1)),0)))="8. Kup"),4,IF(OR(IF(IFERROR(VALUE(LEFT(S34,FIND(":",S34)-1)),0)=0,"",INDEX($I$18:$I$47,IFERROR(VALUE(LEFT(S34,FIND(":",S34)-1)),0)))="7. Kup",IF(IFERROR(VALUE(LEFT(S34,FIND(":",S34)-1)),0)=0,"",INDEX($I$18:$I$47,IFERROR(VALUE(LEFT(S34,FIND(":",S34)-1)),0)))="6. Kup",IF(IFERROR(VALUE(LEFT(S34,FIND(":",S34)-1)),0)=0,"",INDEX($I$18:$I$47,IFERROR(VALUE(LEFT(S34,FIND(":",S34)-1)),0)))="5. Kup"),3,IF(OR(IF(IFERROR(VALUE(LEFT(S34,FIND(":",S34)-1)),0)=0,"",INDEX($I$18:$I$47,IFERROR(VALUE(LEFT(S34,FIND(":",S34)-1)),0)))="4. Kup",IF(IFERROR(VALUE(LEFT(S34,FIND(":",S34)-1)),0)=0,"",INDEX($I$18:$I$47,IFERROR(VALUE(LEFT(S34,FIND(":",S34)-1)),0)))="3. Kup",IF(IFERROR(VALUE(LEFT(S34,FIND(":",S34)-1)),0)=0,"",INDEX($I$18:$I$47,IFERROR(VALUE(LEFT(S34,FIND(":",S34)-1)),0)))="2. Kup"),2,IF(IF(IFERROR(VALUE(LEFT(S34,FIND(":",S34)-1)),0)=0,"",INDEX($I$18:$I$47,IFERROR(VALUE(LEFT(S34,FIND(":",S34)-1)),0)))&lt;&gt;"",1,0))))),"LK1","LK2","LK3","LK4")))</f>
        <v/>
      </c>
      <c r="U34" s="18"/>
      <c r="V34" s="22"/>
      <c r="W34" s="18"/>
      <c r="X34" s="18"/>
      <c r="Y34" s="9" t="str">
        <f t="shared" si="3"/>
        <v/>
      </c>
      <c r="Z34" s="6"/>
      <c r="AA34" s="6"/>
      <c r="AB34" s="44" t="str">
        <f t="shared" si="4"/>
        <v/>
      </c>
    </row>
    <row r="35" spans="1:28" ht="14.4" x14ac:dyDescent="0.3">
      <c r="A35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5" s="41">
        <v>18</v>
      </c>
      <c r="C35" s="10" t="str">
        <f t="shared" si="0"/>
        <v/>
      </c>
      <c r="D35" s="15"/>
      <c r="E35" s="15"/>
      <c r="F35" s="16"/>
      <c r="G35" s="11" t="str">
        <f t="shared" si="1"/>
        <v/>
      </c>
      <c r="H35" s="20"/>
      <c r="I35" s="21"/>
      <c r="J35" s="11" t="str">
        <f t="shared" si="2"/>
        <v/>
      </c>
      <c r="K35" s="20"/>
      <c r="L35" s="20"/>
      <c r="M35" s="23"/>
      <c r="N35" s="20"/>
      <c r="O35" s="23"/>
      <c r="P35" s="23"/>
      <c r="Q35" s="20"/>
      <c r="R35" s="23"/>
      <c r="S35" s="23"/>
      <c r="T35" s="11" t="str">
        <f t="array" ref="T35">IF(Q35&lt;&gt;"Ja","",IF(R35="","",CHOOSE(MAX(IF(OR(I35="10. Kup",I35="9. Kup",I35="8. Kup"),4,IF(OR(I35="7. Kup",I35="6. Kup",I35="5. Kup"),3,IF(OR(I35="4. Kup",I35="3. Kup",I35="2. Kup"),2,IF(I35&lt;&gt;"",1,0)))),IF(OR(IF(IFERROR(VALUE(LEFT(R35,FIND(":",R35)-1)),0)=0,"",INDEX($I$18:$I$47,IFERROR(VALUE(LEFT(R35,FIND(":",R35)-1)),0)))="10. Kup",IF(IFERROR(VALUE(LEFT(R35,FIND(":",R35)-1)),0)=0,"",INDEX($I$18:$I$47,IFERROR(VALUE(LEFT(R35,FIND(":",R35)-1)),0)))="9. Kup",IF(IFERROR(VALUE(LEFT(R35,FIND(":",R35)-1)),0)=0,"",INDEX($I$18:$I$47,IFERROR(VALUE(LEFT(R35,FIND(":",R35)-1)),0)))="8. Kup"),4,IF(OR(IF(IFERROR(VALUE(LEFT(R35,FIND(":",R35)-1)),0)=0,"",INDEX($I$18:$I$47,IFERROR(VALUE(LEFT(R35,FIND(":",R35)-1)),0)))="7. Kup",IF(IFERROR(VALUE(LEFT(R35,FIND(":",R35)-1)),0)=0,"",INDEX($I$18:$I$47,IFERROR(VALUE(LEFT(R35,FIND(":",R35)-1)),0)))="6. Kup",IF(IFERROR(VALUE(LEFT(R35,FIND(":",R35)-1)),0)=0,"",INDEX($I$18:$I$47,IFERROR(VALUE(LEFT(R35,FIND(":",R35)-1)),0)))="5. Kup"),3,IF(OR(IF(IFERROR(VALUE(LEFT(R35,FIND(":",R35)-1)),0)=0,"",INDEX($I$18:$I$47,IFERROR(VALUE(LEFT(R35,FIND(":",R35)-1)),0)))="4. Kup",IF(IFERROR(VALUE(LEFT(R35,FIND(":",R35)-1)),0)=0,"",INDEX($I$18:$I$47,IFERROR(VALUE(LEFT(R35,FIND(":",R35)-1)),0)))="3. Kup",IF(IFERROR(VALUE(LEFT(R35,FIND(":",R35)-1)),0)=0,"",INDEX($I$18:$I$47,IFERROR(VALUE(LEFT(R35,FIND(":",R35)-1)),0)))="2. Kup"),2,IF(IF(IFERROR(VALUE(LEFT(R35,FIND(":",R35)-1)),0)=0,"",INDEX($I$18:$I$47,IFERROR(VALUE(LEFT(R35,FIND(":",R35)-1)),0)))&lt;&gt;"",1,0)))),IF(OR(IF(IFERROR(VALUE(LEFT(S35,FIND(":",S35)-1)),0)=0,"",INDEX($I$18:$I$47,IFERROR(VALUE(LEFT(S35,FIND(":",S35)-1)),0)))="10. Kup",IF(IFERROR(VALUE(LEFT(S35,FIND(":",S35)-1)),0)=0,"",INDEX($I$18:$I$47,IFERROR(VALUE(LEFT(S35,FIND(":",S35)-1)),0)))="9. Kup",IF(IFERROR(VALUE(LEFT(S35,FIND(":",S35)-1)),0)=0,"",INDEX($I$18:$I$47,IFERROR(VALUE(LEFT(S35,FIND(":",S35)-1)),0)))="8. Kup"),4,IF(OR(IF(IFERROR(VALUE(LEFT(S35,FIND(":",S35)-1)),0)=0,"",INDEX($I$18:$I$47,IFERROR(VALUE(LEFT(S35,FIND(":",S35)-1)),0)))="7. Kup",IF(IFERROR(VALUE(LEFT(S35,FIND(":",S35)-1)),0)=0,"",INDEX($I$18:$I$47,IFERROR(VALUE(LEFT(S35,FIND(":",S35)-1)),0)))="6. Kup",IF(IFERROR(VALUE(LEFT(S35,FIND(":",S35)-1)),0)=0,"",INDEX($I$18:$I$47,IFERROR(VALUE(LEFT(S35,FIND(":",S35)-1)),0)))="5. Kup"),3,IF(OR(IF(IFERROR(VALUE(LEFT(S35,FIND(":",S35)-1)),0)=0,"",INDEX($I$18:$I$47,IFERROR(VALUE(LEFT(S35,FIND(":",S35)-1)),0)))="4. Kup",IF(IFERROR(VALUE(LEFT(S35,FIND(":",S35)-1)),0)=0,"",INDEX($I$18:$I$47,IFERROR(VALUE(LEFT(S35,FIND(":",S35)-1)),0)))="3. Kup",IF(IFERROR(VALUE(LEFT(S35,FIND(":",S35)-1)),0)=0,"",INDEX($I$18:$I$47,IFERROR(VALUE(LEFT(S35,FIND(":",S35)-1)),0)))="2. Kup"),2,IF(IF(IFERROR(VALUE(LEFT(S35,FIND(":",S35)-1)),0)=0,"",INDEX($I$18:$I$47,IFERROR(VALUE(LEFT(S35,FIND(":",S35)-1)),0)))&lt;&gt;"",1,0))))),"LK1","LK2","LK3","LK4")))</f>
        <v/>
      </c>
      <c r="U35" s="20"/>
      <c r="V35" s="23"/>
      <c r="W35" s="20"/>
      <c r="X35" s="20"/>
      <c r="Y35" s="12" t="str">
        <f t="shared" si="3"/>
        <v/>
      </c>
      <c r="Z35" s="6"/>
      <c r="AA35" s="6"/>
      <c r="AB35" s="44" t="str">
        <f t="shared" si="4"/>
        <v/>
      </c>
    </row>
    <row r="36" spans="1:28" ht="14.4" x14ac:dyDescent="0.3">
      <c r="A36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6" s="40">
        <v>19</v>
      </c>
      <c r="C36" s="7" t="str">
        <f t="shared" si="0"/>
        <v/>
      </c>
      <c r="D36" s="17"/>
      <c r="E36" s="17"/>
      <c r="F36" s="14"/>
      <c r="G36" s="8" t="str">
        <f t="shared" si="1"/>
        <v/>
      </c>
      <c r="H36" s="18"/>
      <c r="I36" s="19"/>
      <c r="J36" s="8" t="str">
        <f t="shared" si="2"/>
        <v/>
      </c>
      <c r="K36" s="18"/>
      <c r="L36" s="18"/>
      <c r="M36" s="22"/>
      <c r="N36" s="18"/>
      <c r="O36" s="22"/>
      <c r="P36" s="22"/>
      <c r="Q36" s="18"/>
      <c r="R36" s="22"/>
      <c r="S36" s="22"/>
      <c r="T36" s="8" t="str">
        <f t="array" ref="T36">IF(Q36&lt;&gt;"Ja","",IF(R36="","",CHOOSE(MAX(IF(OR(I36="10. Kup",I36="9. Kup",I36="8. Kup"),4,IF(OR(I36="7. Kup",I36="6. Kup",I36="5. Kup"),3,IF(OR(I36="4. Kup",I36="3. Kup",I36="2. Kup"),2,IF(I36&lt;&gt;"",1,0)))),IF(OR(IF(IFERROR(VALUE(LEFT(R36,FIND(":",R36)-1)),0)=0,"",INDEX($I$18:$I$47,IFERROR(VALUE(LEFT(R36,FIND(":",R36)-1)),0)))="10. Kup",IF(IFERROR(VALUE(LEFT(R36,FIND(":",R36)-1)),0)=0,"",INDEX($I$18:$I$47,IFERROR(VALUE(LEFT(R36,FIND(":",R36)-1)),0)))="9. Kup",IF(IFERROR(VALUE(LEFT(R36,FIND(":",R36)-1)),0)=0,"",INDEX($I$18:$I$47,IFERROR(VALUE(LEFT(R36,FIND(":",R36)-1)),0)))="8. Kup"),4,IF(OR(IF(IFERROR(VALUE(LEFT(R36,FIND(":",R36)-1)),0)=0,"",INDEX($I$18:$I$47,IFERROR(VALUE(LEFT(R36,FIND(":",R36)-1)),0)))="7. Kup",IF(IFERROR(VALUE(LEFT(R36,FIND(":",R36)-1)),0)=0,"",INDEX($I$18:$I$47,IFERROR(VALUE(LEFT(R36,FIND(":",R36)-1)),0)))="6. Kup",IF(IFERROR(VALUE(LEFT(R36,FIND(":",R36)-1)),0)=0,"",INDEX($I$18:$I$47,IFERROR(VALUE(LEFT(R36,FIND(":",R36)-1)),0)))="5. Kup"),3,IF(OR(IF(IFERROR(VALUE(LEFT(R36,FIND(":",R36)-1)),0)=0,"",INDEX($I$18:$I$47,IFERROR(VALUE(LEFT(R36,FIND(":",R36)-1)),0)))="4. Kup",IF(IFERROR(VALUE(LEFT(R36,FIND(":",R36)-1)),0)=0,"",INDEX($I$18:$I$47,IFERROR(VALUE(LEFT(R36,FIND(":",R36)-1)),0)))="3. Kup",IF(IFERROR(VALUE(LEFT(R36,FIND(":",R36)-1)),0)=0,"",INDEX($I$18:$I$47,IFERROR(VALUE(LEFT(R36,FIND(":",R36)-1)),0)))="2. Kup"),2,IF(IF(IFERROR(VALUE(LEFT(R36,FIND(":",R36)-1)),0)=0,"",INDEX($I$18:$I$47,IFERROR(VALUE(LEFT(R36,FIND(":",R36)-1)),0)))&lt;&gt;"",1,0)))),IF(OR(IF(IFERROR(VALUE(LEFT(S36,FIND(":",S36)-1)),0)=0,"",INDEX($I$18:$I$47,IFERROR(VALUE(LEFT(S36,FIND(":",S36)-1)),0)))="10. Kup",IF(IFERROR(VALUE(LEFT(S36,FIND(":",S36)-1)),0)=0,"",INDEX($I$18:$I$47,IFERROR(VALUE(LEFT(S36,FIND(":",S36)-1)),0)))="9. Kup",IF(IFERROR(VALUE(LEFT(S36,FIND(":",S36)-1)),0)=0,"",INDEX($I$18:$I$47,IFERROR(VALUE(LEFT(S36,FIND(":",S36)-1)),0)))="8. Kup"),4,IF(OR(IF(IFERROR(VALUE(LEFT(S36,FIND(":",S36)-1)),0)=0,"",INDEX($I$18:$I$47,IFERROR(VALUE(LEFT(S36,FIND(":",S36)-1)),0)))="7. Kup",IF(IFERROR(VALUE(LEFT(S36,FIND(":",S36)-1)),0)=0,"",INDEX($I$18:$I$47,IFERROR(VALUE(LEFT(S36,FIND(":",S36)-1)),0)))="6. Kup",IF(IFERROR(VALUE(LEFT(S36,FIND(":",S36)-1)),0)=0,"",INDEX($I$18:$I$47,IFERROR(VALUE(LEFT(S36,FIND(":",S36)-1)),0)))="5. Kup"),3,IF(OR(IF(IFERROR(VALUE(LEFT(S36,FIND(":",S36)-1)),0)=0,"",INDEX($I$18:$I$47,IFERROR(VALUE(LEFT(S36,FIND(":",S36)-1)),0)))="4. Kup",IF(IFERROR(VALUE(LEFT(S36,FIND(":",S36)-1)),0)=0,"",INDEX($I$18:$I$47,IFERROR(VALUE(LEFT(S36,FIND(":",S36)-1)),0)))="3. Kup",IF(IFERROR(VALUE(LEFT(S36,FIND(":",S36)-1)),0)=0,"",INDEX($I$18:$I$47,IFERROR(VALUE(LEFT(S36,FIND(":",S36)-1)),0)))="2. Kup"),2,IF(IF(IFERROR(VALUE(LEFT(S36,FIND(":",S36)-1)),0)=0,"",INDEX($I$18:$I$47,IFERROR(VALUE(LEFT(S36,FIND(":",S36)-1)),0)))&lt;&gt;"",1,0))))),"LK1","LK2","LK3","LK4")))</f>
        <v/>
      </c>
      <c r="U36" s="18"/>
      <c r="V36" s="22"/>
      <c r="W36" s="18"/>
      <c r="X36" s="18"/>
      <c r="Y36" s="9" t="str">
        <f t="shared" si="3"/>
        <v/>
      </c>
      <c r="Z36" s="6"/>
      <c r="AA36" s="6"/>
      <c r="AB36" s="44" t="str">
        <f t="shared" si="4"/>
        <v/>
      </c>
    </row>
    <row r="37" spans="1:28" ht="14.4" x14ac:dyDescent="0.3">
      <c r="A37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7" s="41">
        <v>20</v>
      </c>
      <c r="C37" s="10" t="str">
        <f t="shared" si="0"/>
        <v/>
      </c>
      <c r="D37" s="15"/>
      <c r="E37" s="15"/>
      <c r="F37" s="16"/>
      <c r="G37" s="11" t="str">
        <f t="shared" si="1"/>
        <v/>
      </c>
      <c r="H37" s="20"/>
      <c r="I37" s="21"/>
      <c r="J37" s="11" t="str">
        <f t="shared" si="2"/>
        <v/>
      </c>
      <c r="K37" s="20"/>
      <c r="L37" s="20"/>
      <c r="M37" s="23"/>
      <c r="N37" s="20"/>
      <c r="O37" s="23"/>
      <c r="P37" s="23"/>
      <c r="Q37" s="20"/>
      <c r="R37" s="23"/>
      <c r="S37" s="23"/>
      <c r="T37" s="11" t="str">
        <f t="array" ref="T37">IF(Q37&lt;&gt;"Ja","",IF(R37="","",CHOOSE(MAX(IF(OR(I37="10. Kup",I37="9. Kup",I37="8. Kup"),4,IF(OR(I37="7. Kup",I37="6. Kup",I37="5. Kup"),3,IF(OR(I37="4. Kup",I37="3. Kup",I37="2. Kup"),2,IF(I37&lt;&gt;"",1,0)))),IF(OR(IF(IFERROR(VALUE(LEFT(R37,FIND(":",R37)-1)),0)=0,"",INDEX($I$18:$I$47,IFERROR(VALUE(LEFT(R37,FIND(":",R37)-1)),0)))="10. Kup",IF(IFERROR(VALUE(LEFT(R37,FIND(":",R37)-1)),0)=0,"",INDEX($I$18:$I$47,IFERROR(VALUE(LEFT(R37,FIND(":",R37)-1)),0)))="9. Kup",IF(IFERROR(VALUE(LEFT(R37,FIND(":",R37)-1)),0)=0,"",INDEX($I$18:$I$47,IFERROR(VALUE(LEFT(R37,FIND(":",R37)-1)),0)))="8. Kup"),4,IF(OR(IF(IFERROR(VALUE(LEFT(R37,FIND(":",R37)-1)),0)=0,"",INDEX($I$18:$I$47,IFERROR(VALUE(LEFT(R37,FIND(":",R37)-1)),0)))="7. Kup",IF(IFERROR(VALUE(LEFT(R37,FIND(":",R37)-1)),0)=0,"",INDEX($I$18:$I$47,IFERROR(VALUE(LEFT(R37,FIND(":",R37)-1)),0)))="6. Kup",IF(IFERROR(VALUE(LEFT(R37,FIND(":",R37)-1)),0)=0,"",INDEX($I$18:$I$47,IFERROR(VALUE(LEFT(R37,FIND(":",R37)-1)),0)))="5. Kup"),3,IF(OR(IF(IFERROR(VALUE(LEFT(R37,FIND(":",R37)-1)),0)=0,"",INDEX($I$18:$I$47,IFERROR(VALUE(LEFT(R37,FIND(":",R37)-1)),0)))="4. Kup",IF(IFERROR(VALUE(LEFT(R37,FIND(":",R37)-1)),0)=0,"",INDEX($I$18:$I$47,IFERROR(VALUE(LEFT(R37,FIND(":",R37)-1)),0)))="3. Kup",IF(IFERROR(VALUE(LEFT(R37,FIND(":",R37)-1)),0)=0,"",INDEX($I$18:$I$47,IFERROR(VALUE(LEFT(R37,FIND(":",R37)-1)),0)))="2. Kup"),2,IF(IF(IFERROR(VALUE(LEFT(R37,FIND(":",R37)-1)),0)=0,"",INDEX($I$18:$I$47,IFERROR(VALUE(LEFT(R37,FIND(":",R37)-1)),0)))&lt;&gt;"",1,0)))),IF(OR(IF(IFERROR(VALUE(LEFT(S37,FIND(":",S37)-1)),0)=0,"",INDEX($I$18:$I$47,IFERROR(VALUE(LEFT(S37,FIND(":",S37)-1)),0)))="10. Kup",IF(IFERROR(VALUE(LEFT(S37,FIND(":",S37)-1)),0)=0,"",INDEX($I$18:$I$47,IFERROR(VALUE(LEFT(S37,FIND(":",S37)-1)),0)))="9. Kup",IF(IFERROR(VALUE(LEFT(S37,FIND(":",S37)-1)),0)=0,"",INDEX($I$18:$I$47,IFERROR(VALUE(LEFT(S37,FIND(":",S37)-1)),0)))="8. Kup"),4,IF(OR(IF(IFERROR(VALUE(LEFT(S37,FIND(":",S37)-1)),0)=0,"",INDEX($I$18:$I$47,IFERROR(VALUE(LEFT(S37,FIND(":",S37)-1)),0)))="7. Kup",IF(IFERROR(VALUE(LEFT(S37,FIND(":",S37)-1)),0)=0,"",INDEX($I$18:$I$47,IFERROR(VALUE(LEFT(S37,FIND(":",S37)-1)),0)))="6. Kup",IF(IFERROR(VALUE(LEFT(S37,FIND(":",S37)-1)),0)=0,"",INDEX($I$18:$I$47,IFERROR(VALUE(LEFT(S37,FIND(":",S37)-1)),0)))="5. Kup"),3,IF(OR(IF(IFERROR(VALUE(LEFT(S37,FIND(":",S37)-1)),0)=0,"",INDEX($I$18:$I$47,IFERROR(VALUE(LEFT(S37,FIND(":",S37)-1)),0)))="4. Kup",IF(IFERROR(VALUE(LEFT(S37,FIND(":",S37)-1)),0)=0,"",INDEX($I$18:$I$47,IFERROR(VALUE(LEFT(S37,FIND(":",S37)-1)),0)))="3. Kup",IF(IFERROR(VALUE(LEFT(S37,FIND(":",S37)-1)),0)=0,"",INDEX($I$18:$I$47,IFERROR(VALUE(LEFT(S37,FIND(":",S37)-1)),0)))="2. Kup"),2,IF(IF(IFERROR(VALUE(LEFT(S37,FIND(":",S37)-1)),0)=0,"",INDEX($I$18:$I$47,IFERROR(VALUE(LEFT(S37,FIND(":",S37)-1)),0)))&lt;&gt;"",1,0))))),"LK1","LK2","LK3","LK4")))</f>
        <v/>
      </c>
      <c r="U37" s="20"/>
      <c r="V37" s="23"/>
      <c r="W37" s="20"/>
      <c r="X37" s="20"/>
      <c r="Y37" s="12" t="str">
        <f t="shared" si="3"/>
        <v/>
      </c>
      <c r="Z37" s="6"/>
      <c r="AA37" s="6"/>
      <c r="AB37" s="44" t="str">
        <f t="shared" si="4"/>
        <v/>
      </c>
    </row>
    <row r="38" spans="1:28" ht="14.4" x14ac:dyDescent="0.3">
      <c r="A38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8" s="40">
        <v>21</v>
      </c>
      <c r="C38" s="7" t="str">
        <f t="shared" si="0"/>
        <v/>
      </c>
      <c r="D38" s="17"/>
      <c r="E38" s="17"/>
      <c r="F38" s="14"/>
      <c r="G38" s="8" t="str">
        <f t="shared" si="1"/>
        <v/>
      </c>
      <c r="H38" s="18"/>
      <c r="I38" s="19"/>
      <c r="J38" s="8" t="str">
        <f t="shared" si="2"/>
        <v/>
      </c>
      <c r="K38" s="18"/>
      <c r="L38" s="18"/>
      <c r="M38" s="22"/>
      <c r="N38" s="18"/>
      <c r="O38" s="22"/>
      <c r="P38" s="22"/>
      <c r="Q38" s="18"/>
      <c r="R38" s="22"/>
      <c r="S38" s="22"/>
      <c r="T38" s="8" t="str">
        <f t="array" ref="T38">IF(Q38&lt;&gt;"Ja","",IF(R38="","",CHOOSE(MAX(IF(OR(I38="10. Kup",I38="9. Kup",I38="8. Kup"),4,IF(OR(I38="7. Kup",I38="6. Kup",I38="5. Kup"),3,IF(OR(I38="4. Kup",I38="3. Kup",I38="2. Kup"),2,IF(I38&lt;&gt;"",1,0)))),IF(OR(IF(IFERROR(VALUE(LEFT(R38,FIND(":",R38)-1)),0)=0,"",INDEX($I$18:$I$47,IFERROR(VALUE(LEFT(R38,FIND(":",R38)-1)),0)))="10. Kup",IF(IFERROR(VALUE(LEFT(R38,FIND(":",R38)-1)),0)=0,"",INDEX($I$18:$I$47,IFERROR(VALUE(LEFT(R38,FIND(":",R38)-1)),0)))="9. Kup",IF(IFERROR(VALUE(LEFT(R38,FIND(":",R38)-1)),0)=0,"",INDEX($I$18:$I$47,IFERROR(VALUE(LEFT(R38,FIND(":",R38)-1)),0)))="8. Kup"),4,IF(OR(IF(IFERROR(VALUE(LEFT(R38,FIND(":",R38)-1)),0)=0,"",INDEX($I$18:$I$47,IFERROR(VALUE(LEFT(R38,FIND(":",R38)-1)),0)))="7. Kup",IF(IFERROR(VALUE(LEFT(R38,FIND(":",R38)-1)),0)=0,"",INDEX($I$18:$I$47,IFERROR(VALUE(LEFT(R38,FIND(":",R38)-1)),0)))="6. Kup",IF(IFERROR(VALUE(LEFT(R38,FIND(":",R38)-1)),0)=0,"",INDEX($I$18:$I$47,IFERROR(VALUE(LEFT(R38,FIND(":",R38)-1)),0)))="5. Kup"),3,IF(OR(IF(IFERROR(VALUE(LEFT(R38,FIND(":",R38)-1)),0)=0,"",INDEX($I$18:$I$47,IFERROR(VALUE(LEFT(R38,FIND(":",R38)-1)),0)))="4. Kup",IF(IFERROR(VALUE(LEFT(R38,FIND(":",R38)-1)),0)=0,"",INDEX($I$18:$I$47,IFERROR(VALUE(LEFT(R38,FIND(":",R38)-1)),0)))="3. Kup",IF(IFERROR(VALUE(LEFT(R38,FIND(":",R38)-1)),0)=0,"",INDEX($I$18:$I$47,IFERROR(VALUE(LEFT(R38,FIND(":",R38)-1)),0)))="2. Kup"),2,IF(IF(IFERROR(VALUE(LEFT(R38,FIND(":",R38)-1)),0)=0,"",INDEX($I$18:$I$47,IFERROR(VALUE(LEFT(R38,FIND(":",R38)-1)),0)))&lt;&gt;"",1,0)))),IF(OR(IF(IFERROR(VALUE(LEFT(S38,FIND(":",S38)-1)),0)=0,"",INDEX($I$18:$I$47,IFERROR(VALUE(LEFT(S38,FIND(":",S38)-1)),0)))="10. Kup",IF(IFERROR(VALUE(LEFT(S38,FIND(":",S38)-1)),0)=0,"",INDEX($I$18:$I$47,IFERROR(VALUE(LEFT(S38,FIND(":",S38)-1)),0)))="9. Kup",IF(IFERROR(VALUE(LEFT(S38,FIND(":",S38)-1)),0)=0,"",INDEX($I$18:$I$47,IFERROR(VALUE(LEFT(S38,FIND(":",S38)-1)),0)))="8. Kup"),4,IF(OR(IF(IFERROR(VALUE(LEFT(S38,FIND(":",S38)-1)),0)=0,"",INDEX($I$18:$I$47,IFERROR(VALUE(LEFT(S38,FIND(":",S38)-1)),0)))="7. Kup",IF(IFERROR(VALUE(LEFT(S38,FIND(":",S38)-1)),0)=0,"",INDEX($I$18:$I$47,IFERROR(VALUE(LEFT(S38,FIND(":",S38)-1)),0)))="6. Kup",IF(IFERROR(VALUE(LEFT(S38,FIND(":",S38)-1)),0)=0,"",INDEX($I$18:$I$47,IFERROR(VALUE(LEFT(S38,FIND(":",S38)-1)),0)))="5. Kup"),3,IF(OR(IF(IFERROR(VALUE(LEFT(S38,FIND(":",S38)-1)),0)=0,"",INDEX($I$18:$I$47,IFERROR(VALUE(LEFT(S38,FIND(":",S38)-1)),0)))="4. Kup",IF(IFERROR(VALUE(LEFT(S38,FIND(":",S38)-1)),0)=0,"",INDEX($I$18:$I$47,IFERROR(VALUE(LEFT(S38,FIND(":",S38)-1)),0)))="3. Kup",IF(IFERROR(VALUE(LEFT(S38,FIND(":",S38)-1)),0)=0,"",INDEX($I$18:$I$47,IFERROR(VALUE(LEFT(S38,FIND(":",S38)-1)),0)))="2. Kup"),2,IF(IF(IFERROR(VALUE(LEFT(S38,FIND(":",S38)-1)),0)=0,"",INDEX($I$18:$I$47,IFERROR(VALUE(LEFT(S38,FIND(":",S38)-1)),0)))&lt;&gt;"",1,0))))),"LK1","LK2","LK3","LK4")))</f>
        <v/>
      </c>
      <c r="U38" s="18"/>
      <c r="V38" s="22"/>
      <c r="W38" s="18"/>
      <c r="X38" s="18"/>
      <c r="Y38" s="9" t="str">
        <f t="shared" si="3"/>
        <v/>
      </c>
      <c r="Z38" s="6"/>
      <c r="AA38" s="6"/>
      <c r="AB38" s="44" t="str">
        <f t="shared" si="4"/>
        <v/>
      </c>
    </row>
    <row r="39" spans="1:28" ht="14.4" x14ac:dyDescent="0.3">
      <c r="A39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39" s="41">
        <v>22</v>
      </c>
      <c r="C39" s="10" t="str">
        <f t="shared" si="0"/>
        <v/>
      </c>
      <c r="D39" s="15"/>
      <c r="E39" s="15"/>
      <c r="F39" s="16"/>
      <c r="G39" s="11" t="str">
        <f t="shared" si="1"/>
        <v/>
      </c>
      <c r="H39" s="20"/>
      <c r="I39" s="21"/>
      <c r="J39" s="11" t="str">
        <f t="shared" si="2"/>
        <v/>
      </c>
      <c r="K39" s="20"/>
      <c r="L39" s="20"/>
      <c r="M39" s="23"/>
      <c r="N39" s="20"/>
      <c r="O39" s="23"/>
      <c r="P39" s="23"/>
      <c r="Q39" s="20"/>
      <c r="R39" s="23"/>
      <c r="S39" s="23"/>
      <c r="T39" s="11" t="str">
        <f t="array" ref="T39">IF(Q39&lt;&gt;"Ja","",IF(R39="","",CHOOSE(MAX(IF(OR(I39="10. Kup",I39="9. Kup",I39="8. Kup"),4,IF(OR(I39="7. Kup",I39="6. Kup",I39="5. Kup"),3,IF(OR(I39="4. Kup",I39="3. Kup",I39="2. Kup"),2,IF(I39&lt;&gt;"",1,0)))),IF(OR(IF(IFERROR(VALUE(LEFT(R39,FIND(":",R39)-1)),0)=0,"",INDEX($I$18:$I$47,IFERROR(VALUE(LEFT(R39,FIND(":",R39)-1)),0)))="10. Kup",IF(IFERROR(VALUE(LEFT(R39,FIND(":",R39)-1)),0)=0,"",INDEX($I$18:$I$47,IFERROR(VALUE(LEFT(R39,FIND(":",R39)-1)),0)))="9. Kup",IF(IFERROR(VALUE(LEFT(R39,FIND(":",R39)-1)),0)=0,"",INDEX($I$18:$I$47,IFERROR(VALUE(LEFT(R39,FIND(":",R39)-1)),0)))="8. Kup"),4,IF(OR(IF(IFERROR(VALUE(LEFT(R39,FIND(":",R39)-1)),0)=0,"",INDEX($I$18:$I$47,IFERROR(VALUE(LEFT(R39,FIND(":",R39)-1)),0)))="7. Kup",IF(IFERROR(VALUE(LEFT(R39,FIND(":",R39)-1)),0)=0,"",INDEX($I$18:$I$47,IFERROR(VALUE(LEFT(R39,FIND(":",R39)-1)),0)))="6. Kup",IF(IFERROR(VALUE(LEFT(R39,FIND(":",R39)-1)),0)=0,"",INDEX($I$18:$I$47,IFERROR(VALUE(LEFT(R39,FIND(":",R39)-1)),0)))="5. Kup"),3,IF(OR(IF(IFERROR(VALUE(LEFT(R39,FIND(":",R39)-1)),0)=0,"",INDEX($I$18:$I$47,IFERROR(VALUE(LEFT(R39,FIND(":",R39)-1)),0)))="4. Kup",IF(IFERROR(VALUE(LEFT(R39,FIND(":",R39)-1)),0)=0,"",INDEX($I$18:$I$47,IFERROR(VALUE(LEFT(R39,FIND(":",R39)-1)),0)))="3. Kup",IF(IFERROR(VALUE(LEFT(R39,FIND(":",R39)-1)),0)=0,"",INDEX($I$18:$I$47,IFERROR(VALUE(LEFT(R39,FIND(":",R39)-1)),0)))="2. Kup"),2,IF(IF(IFERROR(VALUE(LEFT(R39,FIND(":",R39)-1)),0)=0,"",INDEX($I$18:$I$47,IFERROR(VALUE(LEFT(R39,FIND(":",R39)-1)),0)))&lt;&gt;"",1,0)))),IF(OR(IF(IFERROR(VALUE(LEFT(S39,FIND(":",S39)-1)),0)=0,"",INDEX($I$18:$I$47,IFERROR(VALUE(LEFT(S39,FIND(":",S39)-1)),0)))="10. Kup",IF(IFERROR(VALUE(LEFT(S39,FIND(":",S39)-1)),0)=0,"",INDEX($I$18:$I$47,IFERROR(VALUE(LEFT(S39,FIND(":",S39)-1)),0)))="9. Kup",IF(IFERROR(VALUE(LEFT(S39,FIND(":",S39)-1)),0)=0,"",INDEX($I$18:$I$47,IFERROR(VALUE(LEFT(S39,FIND(":",S39)-1)),0)))="8. Kup"),4,IF(OR(IF(IFERROR(VALUE(LEFT(S39,FIND(":",S39)-1)),0)=0,"",INDEX($I$18:$I$47,IFERROR(VALUE(LEFT(S39,FIND(":",S39)-1)),0)))="7. Kup",IF(IFERROR(VALUE(LEFT(S39,FIND(":",S39)-1)),0)=0,"",INDEX($I$18:$I$47,IFERROR(VALUE(LEFT(S39,FIND(":",S39)-1)),0)))="6. Kup",IF(IFERROR(VALUE(LEFT(S39,FIND(":",S39)-1)),0)=0,"",INDEX($I$18:$I$47,IFERROR(VALUE(LEFT(S39,FIND(":",S39)-1)),0)))="5. Kup"),3,IF(OR(IF(IFERROR(VALUE(LEFT(S39,FIND(":",S39)-1)),0)=0,"",INDEX($I$18:$I$47,IFERROR(VALUE(LEFT(S39,FIND(":",S39)-1)),0)))="4. Kup",IF(IFERROR(VALUE(LEFT(S39,FIND(":",S39)-1)),0)=0,"",INDEX($I$18:$I$47,IFERROR(VALUE(LEFT(S39,FIND(":",S39)-1)),0)))="3. Kup",IF(IFERROR(VALUE(LEFT(S39,FIND(":",S39)-1)),0)=0,"",INDEX($I$18:$I$47,IFERROR(VALUE(LEFT(S39,FIND(":",S39)-1)),0)))="2. Kup"),2,IF(IF(IFERROR(VALUE(LEFT(S39,FIND(":",S39)-1)),0)=0,"",INDEX($I$18:$I$47,IFERROR(VALUE(LEFT(S39,FIND(":",S39)-1)),0)))&lt;&gt;"",1,0))))),"LK1","LK2","LK3","LK4")))</f>
        <v/>
      </c>
      <c r="U39" s="20"/>
      <c r="V39" s="23"/>
      <c r="W39" s="20"/>
      <c r="X39" s="20"/>
      <c r="Y39" s="12" t="str">
        <f t="shared" si="3"/>
        <v/>
      </c>
      <c r="Z39" s="6"/>
      <c r="AA39" s="6"/>
      <c r="AB39" s="44" t="str">
        <f t="shared" si="4"/>
        <v/>
      </c>
    </row>
    <row r="40" spans="1:28" ht="14.4" x14ac:dyDescent="0.3">
      <c r="A40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0" s="40">
        <v>23</v>
      </c>
      <c r="C40" s="7" t="str">
        <f t="shared" si="0"/>
        <v/>
      </c>
      <c r="D40" s="17"/>
      <c r="E40" s="17"/>
      <c r="F40" s="14"/>
      <c r="G40" s="8" t="str">
        <f t="shared" si="1"/>
        <v/>
      </c>
      <c r="H40" s="18"/>
      <c r="I40" s="19"/>
      <c r="J40" s="8" t="str">
        <f t="shared" si="2"/>
        <v/>
      </c>
      <c r="K40" s="18"/>
      <c r="L40" s="18"/>
      <c r="M40" s="22"/>
      <c r="N40" s="18"/>
      <c r="O40" s="22"/>
      <c r="P40" s="22"/>
      <c r="Q40" s="18"/>
      <c r="R40" s="22"/>
      <c r="S40" s="22"/>
      <c r="T40" s="8" t="str">
        <f t="array" ref="T40">IF(Q40&lt;&gt;"Ja","",IF(R40="","",CHOOSE(MAX(IF(OR(I40="10. Kup",I40="9. Kup",I40="8. Kup"),4,IF(OR(I40="7. Kup",I40="6. Kup",I40="5. Kup"),3,IF(OR(I40="4. Kup",I40="3. Kup",I40="2. Kup"),2,IF(I40&lt;&gt;"",1,0)))),IF(OR(IF(IFERROR(VALUE(LEFT(R40,FIND(":",R40)-1)),0)=0,"",INDEX($I$18:$I$47,IFERROR(VALUE(LEFT(R40,FIND(":",R40)-1)),0)))="10. Kup",IF(IFERROR(VALUE(LEFT(R40,FIND(":",R40)-1)),0)=0,"",INDEX($I$18:$I$47,IFERROR(VALUE(LEFT(R40,FIND(":",R40)-1)),0)))="9. Kup",IF(IFERROR(VALUE(LEFT(R40,FIND(":",R40)-1)),0)=0,"",INDEX($I$18:$I$47,IFERROR(VALUE(LEFT(R40,FIND(":",R40)-1)),0)))="8. Kup"),4,IF(OR(IF(IFERROR(VALUE(LEFT(R40,FIND(":",R40)-1)),0)=0,"",INDEX($I$18:$I$47,IFERROR(VALUE(LEFT(R40,FIND(":",R40)-1)),0)))="7. Kup",IF(IFERROR(VALUE(LEFT(R40,FIND(":",R40)-1)),0)=0,"",INDEX($I$18:$I$47,IFERROR(VALUE(LEFT(R40,FIND(":",R40)-1)),0)))="6. Kup",IF(IFERROR(VALUE(LEFT(R40,FIND(":",R40)-1)),0)=0,"",INDEX($I$18:$I$47,IFERROR(VALUE(LEFT(R40,FIND(":",R40)-1)),0)))="5. Kup"),3,IF(OR(IF(IFERROR(VALUE(LEFT(R40,FIND(":",R40)-1)),0)=0,"",INDEX($I$18:$I$47,IFERROR(VALUE(LEFT(R40,FIND(":",R40)-1)),0)))="4. Kup",IF(IFERROR(VALUE(LEFT(R40,FIND(":",R40)-1)),0)=0,"",INDEX($I$18:$I$47,IFERROR(VALUE(LEFT(R40,FIND(":",R40)-1)),0)))="3. Kup",IF(IFERROR(VALUE(LEFT(R40,FIND(":",R40)-1)),0)=0,"",INDEX($I$18:$I$47,IFERROR(VALUE(LEFT(R40,FIND(":",R40)-1)),0)))="2. Kup"),2,IF(IF(IFERROR(VALUE(LEFT(R40,FIND(":",R40)-1)),0)=0,"",INDEX($I$18:$I$47,IFERROR(VALUE(LEFT(R40,FIND(":",R40)-1)),0)))&lt;&gt;"",1,0)))),IF(OR(IF(IFERROR(VALUE(LEFT(S40,FIND(":",S40)-1)),0)=0,"",INDEX($I$18:$I$47,IFERROR(VALUE(LEFT(S40,FIND(":",S40)-1)),0)))="10. Kup",IF(IFERROR(VALUE(LEFT(S40,FIND(":",S40)-1)),0)=0,"",INDEX($I$18:$I$47,IFERROR(VALUE(LEFT(S40,FIND(":",S40)-1)),0)))="9. Kup",IF(IFERROR(VALUE(LEFT(S40,FIND(":",S40)-1)),0)=0,"",INDEX($I$18:$I$47,IFERROR(VALUE(LEFT(S40,FIND(":",S40)-1)),0)))="8. Kup"),4,IF(OR(IF(IFERROR(VALUE(LEFT(S40,FIND(":",S40)-1)),0)=0,"",INDEX($I$18:$I$47,IFERROR(VALUE(LEFT(S40,FIND(":",S40)-1)),0)))="7. Kup",IF(IFERROR(VALUE(LEFT(S40,FIND(":",S40)-1)),0)=0,"",INDEX($I$18:$I$47,IFERROR(VALUE(LEFT(S40,FIND(":",S40)-1)),0)))="6. Kup",IF(IFERROR(VALUE(LEFT(S40,FIND(":",S40)-1)),0)=0,"",INDEX($I$18:$I$47,IFERROR(VALUE(LEFT(S40,FIND(":",S40)-1)),0)))="5. Kup"),3,IF(OR(IF(IFERROR(VALUE(LEFT(S40,FIND(":",S40)-1)),0)=0,"",INDEX($I$18:$I$47,IFERROR(VALUE(LEFT(S40,FIND(":",S40)-1)),0)))="4. Kup",IF(IFERROR(VALUE(LEFT(S40,FIND(":",S40)-1)),0)=0,"",INDEX($I$18:$I$47,IFERROR(VALUE(LEFT(S40,FIND(":",S40)-1)),0)))="3. Kup",IF(IFERROR(VALUE(LEFT(S40,FIND(":",S40)-1)),0)=0,"",INDEX($I$18:$I$47,IFERROR(VALUE(LEFT(S40,FIND(":",S40)-1)),0)))="2. Kup"),2,IF(IF(IFERROR(VALUE(LEFT(S40,FIND(":",S40)-1)),0)=0,"",INDEX($I$18:$I$47,IFERROR(VALUE(LEFT(S40,FIND(":",S40)-1)),0)))&lt;&gt;"",1,0))))),"LK1","LK2","LK3","LK4")))</f>
        <v/>
      </c>
      <c r="U40" s="18"/>
      <c r="V40" s="22"/>
      <c r="W40" s="18"/>
      <c r="X40" s="18"/>
      <c r="Y40" s="9" t="str">
        <f t="shared" si="3"/>
        <v/>
      </c>
      <c r="Z40" s="6"/>
      <c r="AA40" s="6"/>
      <c r="AB40" s="44" t="str">
        <f t="shared" si="4"/>
        <v/>
      </c>
    </row>
    <row r="41" spans="1:28" ht="14.4" x14ac:dyDescent="0.3">
      <c r="A41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1" s="41">
        <v>24</v>
      </c>
      <c r="C41" s="10" t="str">
        <f t="shared" si="0"/>
        <v/>
      </c>
      <c r="D41" s="15"/>
      <c r="E41" s="15"/>
      <c r="F41" s="16"/>
      <c r="G41" s="11" t="str">
        <f t="shared" si="1"/>
        <v/>
      </c>
      <c r="H41" s="20"/>
      <c r="I41" s="21"/>
      <c r="J41" s="11" t="str">
        <f t="shared" si="2"/>
        <v/>
      </c>
      <c r="K41" s="20"/>
      <c r="L41" s="20"/>
      <c r="M41" s="23"/>
      <c r="N41" s="20"/>
      <c r="O41" s="23"/>
      <c r="P41" s="23"/>
      <c r="Q41" s="20"/>
      <c r="R41" s="23"/>
      <c r="S41" s="23"/>
      <c r="T41" s="11" t="str">
        <f t="array" ref="T41">IF(Q41&lt;&gt;"Ja","",IF(R41="","",CHOOSE(MAX(IF(OR(I41="10. Kup",I41="9. Kup",I41="8. Kup"),4,IF(OR(I41="7. Kup",I41="6. Kup",I41="5. Kup"),3,IF(OR(I41="4. Kup",I41="3. Kup",I41="2. Kup"),2,IF(I41&lt;&gt;"",1,0)))),IF(OR(IF(IFERROR(VALUE(LEFT(R41,FIND(":",R41)-1)),0)=0,"",INDEX($I$18:$I$47,IFERROR(VALUE(LEFT(R41,FIND(":",R41)-1)),0)))="10. Kup",IF(IFERROR(VALUE(LEFT(R41,FIND(":",R41)-1)),0)=0,"",INDEX($I$18:$I$47,IFERROR(VALUE(LEFT(R41,FIND(":",R41)-1)),0)))="9. Kup",IF(IFERROR(VALUE(LEFT(R41,FIND(":",R41)-1)),0)=0,"",INDEX($I$18:$I$47,IFERROR(VALUE(LEFT(R41,FIND(":",R41)-1)),0)))="8. Kup"),4,IF(OR(IF(IFERROR(VALUE(LEFT(R41,FIND(":",R41)-1)),0)=0,"",INDEX($I$18:$I$47,IFERROR(VALUE(LEFT(R41,FIND(":",R41)-1)),0)))="7. Kup",IF(IFERROR(VALUE(LEFT(R41,FIND(":",R41)-1)),0)=0,"",INDEX($I$18:$I$47,IFERROR(VALUE(LEFT(R41,FIND(":",R41)-1)),0)))="6. Kup",IF(IFERROR(VALUE(LEFT(R41,FIND(":",R41)-1)),0)=0,"",INDEX($I$18:$I$47,IFERROR(VALUE(LEFT(R41,FIND(":",R41)-1)),0)))="5. Kup"),3,IF(OR(IF(IFERROR(VALUE(LEFT(R41,FIND(":",R41)-1)),0)=0,"",INDEX($I$18:$I$47,IFERROR(VALUE(LEFT(R41,FIND(":",R41)-1)),0)))="4. Kup",IF(IFERROR(VALUE(LEFT(R41,FIND(":",R41)-1)),0)=0,"",INDEX($I$18:$I$47,IFERROR(VALUE(LEFT(R41,FIND(":",R41)-1)),0)))="3. Kup",IF(IFERROR(VALUE(LEFT(R41,FIND(":",R41)-1)),0)=0,"",INDEX($I$18:$I$47,IFERROR(VALUE(LEFT(R41,FIND(":",R41)-1)),0)))="2. Kup"),2,IF(IF(IFERROR(VALUE(LEFT(R41,FIND(":",R41)-1)),0)=0,"",INDEX($I$18:$I$47,IFERROR(VALUE(LEFT(R41,FIND(":",R41)-1)),0)))&lt;&gt;"",1,0)))),IF(OR(IF(IFERROR(VALUE(LEFT(S41,FIND(":",S41)-1)),0)=0,"",INDEX($I$18:$I$47,IFERROR(VALUE(LEFT(S41,FIND(":",S41)-1)),0)))="10. Kup",IF(IFERROR(VALUE(LEFT(S41,FIND(":",S41)-1)),0)=0,"",INDEX($I$18:$I$47,IFERROR(VALUE(LEFT(S41,FIND(":",S41)-1)),0)))="9. Kup",IF(IFERROR(VALUE(LEFT(S41,FIND(":",S41)-1)),0)=0,"",INDEX($I$18:$I$47,IFERROR(VALUE(LEFT(S41,FIND(":",S41)-1)),0)))="8. Kup"),4,IF(OR(IF(IFERROR(VALUE(LEFT(S41,FIND(":",S41)-1)),0)=0,"",INDEX($I$18:$I$47,IFERROR(VALUE(LEFT(S41,FIND(":",S41)-1)),0)))="7. Kup",IF(IFERROR(VALUE(LEFT(S41,FIND(":",S41)-1)),0)=0,"",INDEX($I$18:$I$47,IFERROR(VALUE(LEFT(S41,FIND(":",S41)-1)),0)))="6. Kup",IF(IFERROR(VALUE(LEFT(S41,FIND(":",S41)-1)),0)=0,"",INDEX($I$18:$I$47,IFERROR(VALUE(LEFT(S41,FIND(":",S41)-1)),0)))="5. Kup"),3,IF(OR(IF(IFERROR(VALUE(LEFT(S41,FIND(":",S41)-1)),0)=0,"",INDEX($I$18:$I$47,IFERROR(VALUE(LEFT(S41,FIND(":",S41)-1)),0)))="4. Kup",IF(IFERROR(VALUE(LEFT(S41,FIND(":",S41)-1)),0)=0,"",INDEX($I$18:$I$47,IFERROR(VALUE(LEFT(S41,FIND(":",S41)-1)),0)))="3. Kup",IF(IFERROR(VALUE(LEFT(S41,FIND(":",S41)-1)),0)=0,"",INDEX($I$18:$I$47,IFERROR(VALUE(LEFT(S41,FIND(":",S41)-1)),0)))="2. Kup"),2,IF(IF(IFERROR(VALUE(LEFT(S41,FIND(":",S41)-1)),0)=0,"",INDEX($I$18:$I$47,IFERROR(VALUE(LEFT(S41,FIND(":",S41)-1)),0)))&lt;&gt;"",1,0))))),"LK1","LK2","LK3","LK4")))</f>
        <v/>
      </c>
      <c r="U41" s="20"/>
      <c r="V41" s="23"/>
      <c r="W41" s="20"/>
      <c r="X41" s="20"/>
      <c r="Y41" s="12" t="str">
        <f t="shared" si="3"/>
        <v/>
      </c>
      <c r="Z41" s="6"/>
      <c r="AA41" s="6"/>
      <c r="AB41" s="44" t="str">
        <f t="shared" si="4"/>
        <v/>
      </c>
    </row>
    <row r="42" spans="1:28" ht="14.4" x14ac:dyDescent="0.3">
      <c r="A42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2" s="40">
        <v>25</v>
      </c>
      <c r="C42" s="7" t="str">
        <f t="shared" si="0"/>
        <v/>
      </c>
      <c r="D42" s="17"/>
      <c r="E42" s="17"/>
      <c r="F42" s="14"/>
      <c r="G42" s="8" t="str">
        <f t="shared" si="1"/>
        <v/>
      </c>
      <c r="H42" s="18"/>
      <c r="I42" s="19"/>
      <c r="J42" s="8" t="str">
        <f t="shared" si="2"/>
        <v/>
      </c>
      <c r="K42" s="18"/>
      <c r="L42" s="18"/>
      <c r="M42" s="22"/>
      <c r="N42" s="18"/>
      <c r="O42" s="22"/>
      <c r="P42" s="22"/>
      <c r="Q42" s="18"/>
      <c r="R42" s="22"/>
      <c r="S42" s="22"/>
      <c r="T42" s="8" t="str">
        <f t="array" ref="T42">IF(Q42&lt;&gt;"Ja","",IF(R42="","",CHOOSE(MAX(IF(OR(I42="10. Kup",I42="9. Kup",I42="8. Kup"),4,IF(OR(I42="7. Kup",I42="6. Kup",I42="5. Kup"),3,IF(OR(I42="4. Kup",I42="3. Kup",I42="2. Kup"),2,IF(I42&lt;&gt;"",1,0)))),IF(OR(IF(IFERROR(VALUE(LEFT(R42,FIND(":",R42)-1)),0)=0,"",INDEX($I$18:$I$47,IFERROR(VALUE(LEFT(R42,FIND(":",R42)-1)),0)))="10. Kup",IF(IFERROR(VALUE(LEFT(R42,FIND(":",R42)-1)),0)=0,"",INDEX($I$18:$I$47,IFERROR(VALUE(LEFT(R42,FIND(":",R42)-1)),0)))="9. Kup",IF(IFERROR(VALUE(LEFT(R42,FIND(":",R42)-1)),0)=0,"",INDEX($I$18:$I$47,IFERROR(VALUE(LEFT(R42,FIND(":",R42)-1)),0)))="8. Kup"),4,IF(OR(IF(IFERROR(VALUE(LEFT(R42,FIND(":",R42)-1)),0)=0,"",INDEX($I$18:$I$47,IFERROR(VALUE(LEFT(R42,FIND(":",R42)-1)),0)))="7. Kup",IF(IFERROR(VALUE(LEFT(R42,FIND(":",R42)-1)),0)=0,"",INDEX($I$18:$I$47,IFERROR(VALUE(LEFT(R42,FIND(":",R42)-1)),0)))="6. Kup",IF(IFERROR(VALUE(LEFT(R42,FIND(":",R42)-1)),0)=0,"",INDEX($I$18:$I$47,IFERROR(VALUE(LEFT(R42,FIND(":",R42)-1)),0)))="5. Kup"),3,IF(OR(IF(IFERROR(VALUE(LEFT(R42,FIND(":",R42)-1)),0)=0,"",INDEX($I$18:$I$47,IFERROR(VALUE(LEFT(R42,FIND(":",R42)-1)),0)))="4. Kup",IF(IFERROR(VALUE(LEFT(R42,FIND(":",R42)-1)),0)=0,"",INDEX($I$18:$I$47,IFERROR(VALUE(LEFT(R42,FIND(":",R42)-1)),0)))="3. Kup",IF(IFERROR(VALUE(LEFT(R42,FIND(":",R42)-1)),0)=0,"",INDEX($I$18:$I$47,IFERROR(VALUE(LEFT(R42,FIND(":",R42)-1)),0)))="2. Kup"),2,IF(IF(IFERROR(VALUE(LEFT(R42,FIND(":",R42)-1)),0)=0,"",INDEX($I$18:$I$47,IFERROR(VALUE(LEFT(R42,FIND(":",R42)-1)),0)))&lt;&gt;"",1,0)))),IF(OR(IF(IFERROR(VALUE(LEFT(S42,FIND(":",S42)-1)),0)=0,"",INDEX($I$18:$I$47,IFERROR(VALUE(LEFT(S42,FIND(":",S42)-1)),0)))="10. Kup",IF(IFERROR(VALUE(LEFT(S42,FIND(":",S42)-1)),0)=0,"",INDEX($I$18:$I$47,IFERROR(VALUE(LEFT(S42,FIND(":",S42)-1)),0)))="9. Kup",IF(IFERROR(VALUE(LEFT(S42,FIND(":",S42)-1)),0)=0,"",INDEX($I$18:$I$47,IFERROR(VALUE(LEFT(S42,FIND(":",S42)-1)),0)))="8. Kup"),4,IF(OR(IF(IFERROR(VALUE(LEFT(S42,FIND(":",S42)-1)),0)=0,"",INDEX($I$18:$I$47,IFERROR(VALUE(LEFT(S42,FIND(":",S42)-1)),0)))="7. Kup",IF(IFERROR(VALUE(LEFT(S42,FIND(":",S42)-1)),0)=0,"",INDEX($I$18:$I$47,IFERROR(VALUE(LEFT(S42,FIND(":",S42)-1)),0)))="6. Kup",IF(IFERROR(VALUE(LEFT(S42,FIND(":",S42)-1)),0)=0,"",INDEX($I$18:$I$47,IFERROR(VALUE(LEFT(S42,FIND(":",S42)-1)),0)))="5. Kup"),3,IF(OR(IF(IFERROR(VALUE(LEFT(S42,FIND(":",S42)-1)),0)=0,"",INDEX($I$18:$I$47,IFERROR(VALUE(LEFT(S42,FIND(":",S42)-1)),0)))="4. Kup",IF(IFERROR(VALUE(LEFT(S42,FIND(":",S42)-1)),0)=0,"",INDEX($I$18:$I$47,IFERROR(VALUE(LEFT(S42,FIND(":",S42)-1)),0)))="3. Kup",IF(IFERROR(VALUE(LEFT(S42,FIND(":",S42)-1)),0)=0,"",INDEX($I$18:$I$47,IFERROR(VALUE(LEFT(S42,FIND(":",S42)-1)),0)))="2. Kup"),2,IF(IF(IFERROR(VALUE(LEFT(S42,FIND(":",S42)-1)),0)=0,"",INDEX($I$18:$I$47,IFERROR(VALUE(LEFT(S42,FIND(":",S42)-1)),0)))&lt;&gt;"",1,0))))),"LK1","LK2","LK3","LK4")))</f>
        <v/>
      </c>
      <c r="U42" s="18"/>
      <c r="V42" s="22"/>
      <c r="W42" s="18"/>
      <c r="X42" s="18"/>
      <c r="Y42" s="9" t="str">
        <f t="shared" si="3"/>
        <v/>
      </c>
      <c r="Z42" s="6"/>
      <c r="AA42" s="6"/>
      <c r="AB42" s="44" t="str">
        <f t="shared" si="4"/>
        <v/>
      </c>
    </row>
    <row r="43" spans="1:28" ht="14.4" x14ac:dyDescent="0.3">
      <c r="A43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3" s="41">
        <v>26</v>
      </c>
      <c r="C43" s="10" t="str">
        <f t="shared" si="0"/>
        <v/>
      </c>
      <c r="D43" s="15"/>
      <c r="E43" s="15"/>
      <c r="F43" s="16"/>
      <c r="G43" s="11" t="str">
        <f t="shared" si="1"/>
        <v/>
      </c>
      <c r="H43" s="20"/>
      <c r="I43" s="21"/>
      <c r="J43" s="11" t="str">
        <f t="shared" si="2"/>
        <v/>
      </c>
      <c r="K43" s="20"/>
      <c r="L43" s="20"/>
      <c r="M43" s="23"/>
      <c r="N43" s="20"/>
      <c r="O43" s="23"/>
      <c r="P43" s="23"/>
      <c r="Q43" s="20"/>
      <c r="R43" s="23"/>
      <c r="S43" s="23"/>
      <c r="T43" s="11" t="str">
        <f t="array" ref="T43">IF(Q43&lt;&gt;"Ja","",IF(R43="","",CHOOSE(MAX(IF(OR(I43="10. Kup",I43="9. Kup",I43="8. Kup"),4,IF(OR(I43="7. Kup",I43="6. Kup",I43="5. Kup"),3,IF(OR(I43="4. Kup",I43="3. Kup",I43="2. Kup"),2,IF(I43&lt;&gt;"",1,0)))),IF(OR(IF(IFERROR(VALUE(LEFT(R43,FIND(":",R43)-1)),0)=0,"",INDEX($I$18:$I$47,IFERROR(VALUE(LEFT(R43,FIND(":",R43)-1)),0)))="10. Kup",IF(IFERROR(VALUE(LEFT(R43,FIND(":",R43)-1)),0)=0,"",INDEX($I$18:$I$47,IFERROR(VALUE(LEFT(R43,FIND(":",R43)-1)),0)))="9. Kup",IF(IFERROR(VALUE(LEFT(R43,FIND(":",R43)-1)),0)=0,"",INDEX($I$18:$I$47,IFERROR(VALUE(LEFT(R43,FIND(":",R43)-1)),0)))="8. Kup"),4,IF(OR(IF(IFERROR(VALUE(LEFT(R43,FIND(":",R43)-1)),0)=0,"",INDEX($I$18:$I$47,IFERROR(VALUE(LEFT(R43,FIND(":",R43)-1)),0)))="7. Kup",IF(IFERROR(VALUE(LEFT(R43,FIND(":",R43)-1)),0)=0,"",INDEX($I$18:$I$47,IFERROR(VALUE(LEFT(R43,FIND(":",R43)-1)),0)))="6. Kup",IF(IFERROR(VALUE(LEFT(R43,FIND(":",R43)-1)),0)=0,"",INDEX($I$18:$I$47,IFERROR(VALUE(LEFT(R43,FIND(":",R43)-1)),0)))="5. Kup"),3,IF(OR(IF(IFERROR(VALUE(LEFT(R43,FIND(":",R43)-1)),0)=0,"",INDEX($I$18:$I$47,IFERROR(VALUE(LEFT(R43,FIND(":",R43)-1)),0)))="4. Kup",IF(IFERROR(VALUE(LEFT(R43,FIND(":",R43)-1)),0)=0,"",INDEX($I$18:$I$47,IFERROR(VALUE(LEFT(R43,FIND(":",R43)-1)),0)))="3. Kup",IF(IFERROR(VALUE(LEFT(R43,FIND(":",R43)-1)),0)=0,"",INDEX($I$18:$I$47,IFERROR(VALUE(LEFT(R43,FIND(":",R43)-1)),0)))="2. Kup"),2,IF(IF(IFERROR(VALUE(LEFT(R43,FIND(":",R43)-1)),0)=0,"",INDEX($I$18:$I$47,IFERROR(VALUE(LEFT(R43,FIND(":",R43)-1)),0)))&lt;&gt;"",1,0)))),IF(OR(IF(IFERROR(VALUE(LEFT(S43,FIND(":",S43)-1)),0)=0,"",INDEX($I$18:$I$47,IFERROR(VALUE(LEFT(S43,FIND(":",S43)-1)),0)))="10. Kup",IF(IFERROR(VALUE(LEFT(S43,FIND(":",S43)-1)),0)=0,"",INDEX($I$18:$I$47,IFERROR(VALUE(LEFT(S43,FIND(":",S43)-1)),0)))="9. Kup",IF(IFERROR(VALUE(LEFT(S43,FIND(":",S43)-1)),0)=0,"",INDEX($I$18:$I$47,IFERROR(VALUE(LEFT(S43,FIND(":",S43)-1)),0)))="8. Kup"),4,IF(OR(IF(IFERROR(VALUE(LEFT(S43,FIND(":",S43)-1)),0)=0,"",INDEX($I$18:$I$47,IFERROR(VALUE(LEFT(S43,FIND(":",S43)-1)),0)))="7. Kup",IF(IFERROR(VALUE(LEFT(S43,FIND(":",S43)-1)),0)=0,"",INDEX($I$18:$I$47,IFERROR(VALUE(LEFT(S43,FIND(":",S43)-1)),0)))="6. Kup",IF(IFERROR(VALUE(LEFT(S43,FIND(":",S43)-1)),0)=0,"",INDEX($I$18:$I$47,IFERROR(VALUE(LEFT(S43,FIND(":",S43)-1)),0)))="5. Kup"),3,IF(OR(IF(IFERROR(VALUE(LEFT(S43,FIND(":",S43)-1)),0)=0,"",INDEX($I$18:$I$47,IFERROR(VALUE(LEFT(S43,FIND(":",S43)-1)),0)))="4. Kup",IF(IFERROR(VALUE(LEFT(S43,FIND(":",S43)-1)),0)=0,"",INDEX($I$18:$I$47,IFERROR(VALUE(LEFT(S43,FIND(":",S43)-1)),0)))="3. Kup",IF(IFERROR(VALUE(LEFT(S43,FIND(":",S43)-1)),0)=0,"",INDEX($I$18:$I$47,IFERROR(VALUE(LEFT(S43,FIND(":",S43)-1)),0)))="2. Kup"),2,IF(IF(IFERROR(VALUE(LEFT(S43,FIND(":",S43)-1)),0)=0,"",INDEX($I$18:$I$47,IFERROR(VALUE(LEFT(S43,FIND(":",S43)-1)),0)))&lt;&gt;"",1,0))))),"LK1","LK2","LK3","LK4")))</f>
        <v/>
      </c>
      <c r="U43" s="20"/>
      <c r="V43" s="23"/>
      <c r="W43" s="20"/>
      <c r="X43" s="20"/>
      <c r="Y43" s="12" t="str">
        <f t="shared" si="3"/>
        <v/>
      </c>
      <c r="Z43" s="6"/>
      <c r="AA43" s="6"/>
      <c r="AB43" s="44" t="str">
        <f t="shared" si="4"/>
        <v/>
      </c>
    </row>
    <row r="44" spans="1:28" ht="14.4" x14ac:dyDescent="0.3">
      <c r="A44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4" s="40">
        <v>27</v>
      </c>
      <c r="C44" s="7" t="str">
        <f t="shared" si="0"/>
        <v/>
      </c>
      <c r="D44" s="17"/>
      <c r="E44" s="17"/>
      <c r="F44" s="14"/>
      <c r="G44" s="8" t="str">
        <f t="shared" si="1"/>
        <v/>
      </c>
      <c r="H44" s="18"/>
      <c r="I44" s="19"/>
      <c r="J44" s="8" t="str">
        <f t="shared" si="2"/>
        <v/>
      </c>
      <c r="K44" s="18"/>
      <c r="L44" s="18"/>
      <c r="M44" s="22"/>
      <c r="N44" s="18"/>
      <c r="O44" s="22"/>
      <c r="P44" s="22"/>
      <c r="Q44" s="18"/>
      <c r="R44" s="22"/>
      <c r="S44" s="22"/>
      <c r="T44" s="8" t="str">
        <f t="array" ref="T44">IF(Q44&lt;&gt;"Ja","",IF(R44="","",CHOOSE(MAX(IF(OR(I44="10. Kup",I44="9. Kup",I44="8. Kup"),4,IF(OR(I44="7. Kup",I44="6. Kup",I44="5. Kup"),3,IF(OR(I44="4. Kup",I44="3. Kup",I44="2. Kup"),2,IF(I44&lt;&gt;"",1,0)))),IF(OR(IF(IFERROR(VALUE(LEFT(R44,FIND(":",R44)-1)),0)=0,"",INDEX($I$18:$I$47,IFERROR(VALUE(LEFT(R44,FIND(":",R44)-1)),0)))="10. Kup",IF(IFERROR(VALUE(LEFT(R44,FIND(":",R44)-1)),0)=0,"",INDEX($I$18:$I$47,IFERROR(VALUE(LEFT(R44,FIND(":",R44)-1)),0)))="9. Kup",IF(IFERROR(VALUE(LEFT(R44,FIND(":",R44)-1)),0)=0,"",INDEX($I$18:$I$47,IFERROR(VALUE(LEFT(R44,FIND(":",R44)-1)),0)))="8. Kup"),4,IF(OR(IF(IFERROR(VALUE(LEFT(R44,FIND(":",R44)-1)),0)=0,"",INDEX($I$18:$I$47,IFERROR(VALUE(LEFT(R44,FIND(":",R44)-1)),0)))="7. Kup",IF(IFERROR(VALUE(LEFT(R44,FIND(":",R44)-1)),0)=0,"",INDEX($I$18:$I$47,IFERROR(VALUE(LEFT(R44,FIND(":",R44)-1)),0)))="6. Kup",IF(IFERROR(VALUE(LEFT(R44,FIND(":",R44)-1)),0)=0,"",INDEX($I$18:$I$47,IFERROR(VALUE(LEFT(R44,FIND(":",R44)-1)),0)))="5. Kup"),3,IF(OR(IF(IFERROR(VALUE(LEFT(R44,FIND(":",R44)-1)),0)=0,"",INDEX($I$18:$I$47,IFERROR(VALUE(LEFT(R44,FIND(":",R44)-1)),0)))="4. Kup",IF(IFERROR(VALUE(LEFT(R44,FIND(":",R44)-1)),0)=0,"",INDEX($I$18:$I$47,IFERROR(VALUE(LEFT(R44,FIND(":",R44)-1)),0)))="3. Kup",IF(IFERROR(VALUE(LEFT(R44,FIND(":",R44)-1)),0)=0,"",INDEX($I$18:$I$47,IFERROR(VALUE(LEFT(R44,FIND(":",R44)-1)),0)))="2. Kup"),2,IF(IF(IFERROR(VALUE(LEFT(R44,FIND(":",R44)-1)),0)=0,"",INDEX($I$18:$I$47,IFERROR(VALUE(LEFT(R44,FIND(":",R44)-1)),0)))&lt;&gt;"",1,0)))),IF(OR(IF(IFERROR(VALUE(LEFT(S44,FIND(":",S44)-1)),0)=0,"",INDEX($I$18:$I$47,IFERROR(VALUE(LEFT(S44,FIND(":",S44)-1)),0)))="10. Kup",IF(IFERROR(VALUE(LEFT(S44,FIND(":",S44)-1)),0)=0,"",INDEX($I$18:$I$47,IFERROR(VALUE(LEFT(S44,FIND(":",S44)-1)),0)))="9. Kup",IF(IFERROR(VALUE(LEFT(S44,FIND(":",S44)-1)),0)=0,"",INDEX($I$18:$I$47,IFERROR(VALUE(LEFT(S44,FIND(":",S44)-1)),0)))="8. Kup"),4,IF(OR(IF(IFERROR(VALUE(LEFT(S44,FIND(":",S44)-1)),0)=0,"",INDEX($I$18:$I$47,IFERROR(VALUE(LEFT(S44,FIND(":",S44)-1)),0)))="7. Kup",IF(IFERROR(VALUE(LEFT(S44,FIND(":",S44)-1)),0)=0,"",INDEX($I$18:$I$47,IFERROR(VALUE(LEFT(S44,FIND(":",S44)-1)),0)))="6. Kup",IF(IFERROR(VALUE(LEFT(S44,FIND(":",S44)-1)),0)=0,"",INDEX($I$18:$I$47,IFERROR(VALUE(LEFT(S44,FIND(":",S44)-1)),0)))="5. Kup"),3,IF(OR(IF(IFERROR(VALUE(LEFT(S44,FIND(":",S44)-1)),0)=0,"",INDEX($I$18:$I$47,IFERROR(VALUE(LEFT(S44,FIND(":",S44)-1)),0)))="4. Kup",IF(IFERROR(VALUE(LEFT(S44,FIND(":",S44)-1)),0)=0,"",INDEX($I$18:$I$47,IFERROR(VALUE(LEFT(S44,FIND(":",S44)-1)),0)))="3. Kup",IF(IFERROR(VALUE(LEFT(S44,FIND(":",S44)-1)),0)=0,"",INDEX($I$18:$I$47,IFERROR(VALUE(LEFT(S44,FIND(":",S44)-1)),0)))="2. Kup"),2,IF(IF(IFERROR(VALUE(LEFT(S44,FIND(":",S44)-1)),0)=0,"",INDEX($I$18:$I$47,IFERROR(VALUE(LEFT(S44,FIND(":",S44)-1)),0)))&lt;&gt;"",1,0))))),"LK1","LK2","LK3","LK4")))</f>
        <v/>
      </c>
      <c r="U44" s="18"/>
      <c r="V44" s="22"/>
      <c r="W44" s="18"/>
      <c r="X44" s="18"/>
      <c r="Y44" s="9" t="str">
        <f t="shared" si="3"/>
        <v/>
      </c>
      <c r="Z44" s="6"/>
      <c r="AA44" s="6"/>
      <c r="AB44" s="44" t="str">
        <f t="shared" si="4"/>
        <v/>
      </c>
    </row>
    <row r="45" spans="1:28" ht="14.4" x14ac:dyDescent="0.3">
      <c r="A45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5" s="41">
        <v>28</v>
      </c>
      <c r="C45" s="10" t="str">
        <f t="shared" si="0"/>
        <v/>
      </c>
      <c r="D45" s="15"/>
      <c r="E45" s="15"/>
      <c r="F45" s="16"/>
      <c r="G45" s="11" t="str">
        <f t="shared" si="1"/>
        <v/>
      </c>
      <c r="H45" s="20"/>
      <c r="I45" s="21"/>
      <c r="J45" s="11" t="str">
        <f t="shared" si="2"/>
        <v/>
      </c>
      <c r="K45" s="20"/>
      <c r="L45" s="20"/>
      <c r="M45" s="23"/>
      <c r="N45" s="20"/>
      <c r="O45" s="23"/>
      <c r="P45" s="23"/>
      <c r="Q45" s="20"/>
      <c r="R45" s="23"/>
      <c r="S45" s="23"/>
      <c r="T45" s="11" t="str">
        <f t="array" ref="T45">IF(Q45&lt;&gt;"Ja","",IF(R45="","",CHOOSE(MAX(IF(OR(I45="10. Kup",I45="9. Kup",I45="8. Kup"),4,IF(OR(I45="7. Kup",I45="6. Kup",I45="5. Kup"),3,IF(OR(I45="4. Kup",I45="3. Kup",I45="2. Kup"),2,IF(I45&lt;&gt;"",1,0)))),IF(OR(IF(IFERROR(VALUE(LEFT(R45,FIND(":",R45)-1)),0)=0,"",INDEX($I$18:$I$47,IFERROR(VALUE(LEFT(R45,FIND(":",R45)-1)),0)))="10. Kup",IF(IFERROR(VALUE(LEFT(R45,FIND(":",R45)-1)),0)=0,"",INDEX($I$18:$I$47,IFERROR(VALUE(LEFT(R45,FIND(":",R45)-1)),0)))="9. Kup",IF(IFERROR(VALUE(LEFT(R45,FIND(":",R45)-1)),0)=0,"",INDEX($I$18:$I$47,IFERROR(VALUE(LEFT(R45,FIND(":",R45)-1)),0)))="8. Kup"),4,IF(OR(IF(IFERROR(VALUE(LEFT(R45,FIND(":",R45)-1)),0)=0,"",INDEX($I$18:$I$47,IFERROR(VALUE(LEFT(R45,FIND(":",R45)-1)),0)))="7. Kup",IF(IFERROR(VALUE(LEFT(R45,FIND(":",R45)-1)),0)=0,"",INDEX($I$18:$I$47,IFERROR(VALUE(LEFT(R45,FIND(":",R45)-1)),0)))="6. Kup",IF(IFERROR(VALUE(LEFT(R45,FIND(":",R45)-1)),0)=0,"",INDEX($I$18:$I$47,IFERROR(VALUE(LEFT(R45,FIND(":",R45)-1)),0)))="5. Kup"),3,IF(OR(IF(IFERROR(VALUE(LEFT(R45,FIND(":",R45)-1)),0)=0,"",INDEX($I$18:$I$47,IFERROR(VALUE(LEFT(R45,FIND(":",R45)-1)),0)))="4. Kup",IF(IFERROR(VALUE(LEFT(R45,FIND(":",R45)-1)),0)=0,"",INDEX($I$18:$I$47,IFERROR(VALUE(LEFT(R45,FIND(":",R45)-1)),0)))="3. Kup",IF(IFERROR(VALUE(LEFT(R45,FIND(":",R45)-1)),0)=0,"",INDEX($I$18:$I$47,IFERROR(VALUE(LEFT(R45,FIND(":",R45)-1)),0)))="2. Kup"),2,IF(IF(IFERROR(VALUE(LEFT(R45,FIND(":",R45)-1)),0)=0,"",INDEX($I$18:$I$47,IFERROR(VALUE(LEFT(R45,FIND(":",R45)-1)),0)))&lt;&gt;"",1,0)))),IF(OR(IF(IFERROR(VALUE(LEFT(S45,FIND(":",S45)-1)),0)=0,"",INDEX($I$18:$I$47,IFERROR(VALUE(LEFT(S45,FIND(":",S45)-1)),0)))="10. Kup",IF(IFERROR(VALUE(LEFT(S45,FIND(":",S45)-1)),0)=0,"",INDEX($I$18:$I$47,IFERROR(VALUE(LEFT(S45,FIND(":",S45)-1)),0)))="9. Kup",IF(IFERROR(VALUE(LEFT(S45,FIND(":",S45)-1)),0)=0,"",INDEX($I$18:$I$47,IFERROR(VALUE(LEFT(S45,FIND(":",S45)-1)),0)))="8. Kup"),4,IF(OR(IF(IFERROR(VALUE(LEFT(S45,FIND(":",S45)-1)),0)=0,"",INDEX($I$18:$I$47,IFERROR(VALUE(LEFT(S45,FIND(":",S45)-1)),0)))="7. Kup",IF(IFERROR(VALUE(LEFT(S45,FIND(":",S45)-1)),0)=0,"",INDEX($I$18:$I$47,IFERROR(VALUE(LEFT(S45,FIND(":",S45)-1)),0)))="6. Kup",IF(IFERROR(VALUE(LEFT(S45,FIND(":",S45)-1)),0)=0,"",INDEX($I$18:$I$47,IFERROR(VALUE(LEFT(S45,FIND(":",S45)-1)),0)))="5. Kup"),3,IF(OR(IF(IFERROR(VALUE(LEFT(S45,FIND(":",S45)-1)),0)=0,"",INDEX($I$18:$I$47,IFERROR(VALUE(LEFT(S45,FIND(":",S45)-1)),0)))="4. Kup",IF(IFERROR(VALUE(LEFT(S45,FIND(":",S45)-1)),0)=0,"",INDEX($I$18:$I$47,IFERROR(VALUE(LEFT(S45,FIND(":",S45)-1)),0)))="3. Kup",IF(IFERROR(VALUE(LEFT(S45,FIND(":",S45)-1)),0)=0,"",INDEX($I$18:$I$47,IFERROR(VALUE(LEFT(S45,FIND(":",S45)-1)),0)))="2. Kup"),2,IF(IF(IFERROR(VALUE(LEFT(S45,FIND(":",S45)-1)),0)=0,"",INDEX($I$18:$I$47,IFERROR(VALUE(LEFT(S45,FIND(":",S45)-1)),0)))&lt;&gt;"",1,0))))),"LK1","LK2","LK3","LK4")))</f>
        <v/>
      </c>
      <c r="U45" s="20"/>
      <c r="V45" s="23"/>
      <c r="W45" s="20"/>
      <c r="X45" s="20"/>
      <c r="Y45" s="12" t="str">
        <f t="shared" si="3"/>
        <v/>
      </c>
      <c r="Z45" s="6"/>
      <c r="AA45" s="6"/>
      <c r="AB45" s="44" t="str">
        <f t="shared" si="4"/>
        <v/>
      </c>
    </row>
    <row r="46" spans="1:28" ht="14.4" x14ac:dyDescent="0.3">
      <c r="A46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6" s="40">
        <v>29</v>
      </c>
      <c r="C46" s="7" t="str">
        <f t="shared" si="0"/>
        <v/>
      </c>
      <c r="D46" s="17"/>
      <c r="E46" s="17"/>
      <c r="F46" s="14"/>
      <c r="G46" s="8" t="str">
        <f t="shared" si="1"/>
        <v/>
      </c>
      <c r="H46" s="18"/>
      <c r="I46" s="19"/>
      <c r="J46" s="8" t="str">
        <f t="shared" si="2"/>
        <v/>
      </c>
      <c r="K46" s="18"/>
      <c r="L46" s="18"/>
      <c r="M46" s="22"/>
      <c r="N46" s="18"/>
      <c r="O46" s="22"/>
      <c r="P46" s="22"/>
      <c r="Q46" s="18"/>
      <c r="R46" s="22"/>
      <c r="S46" s="22"/>
      <c r="T46" s="8" t="str">
        <f t="array" ref="T46">IF(Q46&lt;&gt;"Ja","",IF(R46="","",CHOOSE(MAX(IF(OR(I46="10. Kup",I46="9. Kup",I46="8. Kup"),4,IF(OR(I46="7. Kup",I46="6. Kup",I46="5. Kup"),3,IF(OR(I46="4. Kup",I46="3. Kup",I46="2. Kup"),2,IF(I46&lt;&gt;"",1,0)))),IF(OR(IF(IFERROR(VALUE(LEFT(R46,FIND(":",R46)-1)),0)=0,"",INDEX($I$18:$I$47,IFERROR(VALUE(LEFT(R46,FIND(":",R46)-1)),0)))="10. Kup",IF(IFERROR(VALUE(LEFT(R46,FIND(":",R46)-1)),0)=0,"",INDEX($I$18:$I$47,IFERROR(VALUE(LEFT(R46,FIND(":",R46)-1)),0)))="9. Kup",IF(IFERROR(VALUE(LEFT(R46,FIND(":",R46)-1)),0)=0,"",INDEX($I$18:$I$47,IFERROR(VALUE(LEFT(R46,FIND(":",R46)-1)),0)))="8. Kup"),4,IF(OR(IF(IFERROR(VALUE(LEFT(R46,FIND(":",R46)-1)),0)=0,"",INDEX($I$18:$I$47,IFERROR(VALUE(LEFT(R46,FIND(":",R46)-1)),0)))="7. Kup",IF(IFERROR(VALUE(LEFT(R46,FIND(":",R46)-1)),0)=0,"",INDEX($I$18:$I$47,IFERROR(VALUE(LEFT(R46,FIND(":",R46)-1)),0)))="6. Kup",IF(IFERROR(VALUE(LEFT(R46,FIND(":",R46)-1)),0)=0,"",INDEX($I$18:$I$47,IFERROR(VALUE(LEFT(R46,FIND(":",R46)-1)),0)))="5. Kup"),3,IF(OR(IF(IFERROR(VALUE(LEFT(R46,FIND(":",R46)-1)),0)=0,"",INDEX($I$18:$I$47,IFERROR(VALUE(LEFT(R46,FIND(":",R46)-1)),0)))="4. Kup",IF(IFERROR(VALUE(LEFT(R46,FIND(":",R46)-1)),0)=0,"",INDEX($I$18:$I$47,IFERROR(VALUE(LEFT(R46,FIND(":",R46)-1)),0)))="3. Kup",IF(IFERROR(VALUE(LEFT(R46,FIND(":",R46)-1)),0)=0,"",INDEX($I$18:$I$47,IFERROR(VALUE(LEFT(R46,FIND(":",R46)-1)),0)))="2. Kup"),2,IF(IF(IFERROR(VALUE(LEFT(R46,FIND(":",R46)-1)),0)=0,"",INDEX($I$18:$I$47,IFERROR(VALUE(LEFT(R46,FIND(":",R46)-1)),0)))&lt;&gt;"",1,0)))),IF(OR(IF(IFERROR(VALUE(LEFT(S46,FIND(":",S46)-1)),0)=0,"",INDEX($I$18:$I$47,IFERROR(VALUE(LEFT(S46,FIND(":",S46)-1)),0)))="10. Kup",IF(IFERROR(VALUE(LEFT(S46,FIND(":",S46)-1)),0)=0,"",INDEX($I$18:$I$47,IFERROR(VALUE(LEFT(S46,FIND(":",S46)-1)),0)))="9. Kup",IF(IFERROR(VALUE(LEFT(S46,FIND(":",S46)-1)),0)=0,"",INDEX($I$18:$I$47,IFERROR(VALUE(LEFT(S46,FIND(":",S46)-1)),0)))="8. Kup"),4,IF(OR(IF(IFERROR(VALUE(LEFT(S46,FIND(":",S46)-1)),0)=0,"",INDEX($I$18:$I$47,IFERROR(VALUE(LEFT(S46,FIND(":",S46)-1)),0)))="7. Kup",IF(IFERROR(VALUE(LEFT(S46,FIND(":",S46)-1)),0)=0,"",INDEX($I$18:$I$47,IFERROR(VALUE(LEFT(S46,FIND(":",S46)-1)),0)))="6. Kup",IF(IFERROR(VALUE(LEFT(S46,FIND(":",S46)-1)),0)=0,"",INDEX($I$18:$I$47,IFERROR(VALUE(LEFT(S46,FIND(":",S46)-1)),0)))="5. Kup"),3,IF(OR(IF(IFERROR(VALUE(LEFT(S46,FIND(":",S46)-1)),0)=0,"",INDEX($I$18:$I$47,IFERROR(VALUE(LEFT(S46,FIND(":",S46)-1)),0)))="4. Kup",IF(IFERROR(VALUE(LEFT(S46,FIND(":",S46)-1)),0)=0,"",INDEX($I$18:$I$47,IFERROR(VALUE(LEFT(S46,FIND(":",S46)-1)),0)))="3. Kup",IF(IFERROR(VALUE(LEFT(S46,FIND(":",S46)-1)),0)=0,"",INDEX($I$18:$I$47,IFERROR(VALUE(LEFT(S46,FIND(":",S46)-1)),0)))="2. Kup"),2,IF(IF(IFERROR(VALUE(LEFT(S46,FIND(":",S46)-1)),0)=0,"",INDEX($I$18:$I$47,IFERROR(VALUE(LEFT(S46,FIND(":",S46)-1)),0)))&lt;&gt;"",1,0))))),"LK1","LK2","LK3","LK4")))</f>
        <v/>
      </c>
      <c r="U46" s="18"/>
      <c r="V46" s="22"/>
      <c r="W46" s="18"/>
      <c r="X46" s="18"/>
      <c r="Y46" s="9" t="str">
        <f t="shared" si="3"/>
        <v/>
      </c>
      <c r="Z46" s="6"/>
      <c r="AA46" s="6"/>
      <c r="AB46" s="44" t="str">
        <f t="shared" si="4"/>
        <v/>
      </c>
    </row>
    <row r="47" spans="1:28" ht="14.4" x14ac:dyDescent="0.3">
      <c r="A47" s="45" t="str">
        <f>IF(Table_1[[#This Row],[Nachname]]="","",IF(AND(Table_1[[#This Row],[Poomsae Einzel]]&lt;&gt;"Ja",Table_1[[#This Row],[Poomsae Paar]]&lt;&gt;"Ja",Table_1[[#This Row],[Poomsae Team]]&lt;&gt;"Ja"),"Disziplin fehlt",IF(OR(AND(Table_1[[#This Row],[Poomsae Paar]]="Ja",Table_1[[#This Row],[Paar: Partner/in]]=""),AND(Table_1[[#This Row],[Poomsae Team]]="Ja",OR(Table_1[[#This Row],[Team: Starter/in 2]]="",Table_1[[#This Row],[Team: Starter/in 3]]="")),AND(Table_1[[#This Row],[Poomsae Family]]="Ja",Table_1[[#This Row],[Family: Mitglied 2]]=""),AND(Table_1[[#This Row],[Einschritt- kampf]]="Ja",Table_1[[#This Row],[Einschrittkampf: Partner/in]]="")),"Partner fehlt","OK")))</f>
        <v/>
      </c>
      <c r="B47" s="41">
        <v>30</v>
      </c>
      <c r="C47" s="10" t="str">
        <f t="shared" si="0"/>
        <v/>
      </c>
      <c r="D47" s="15"/>
      <c r="E47" s="15"/>
      <c r="F47" s="16"/>
      <c r="G47" s="11" t="str">
        <f t="shared" si="1"/>
        <v/>
      </c>
      <c r="H47" s="20"/>
      <c r="I47" s="21"/>
      <c r="J47" s="11" t="str">
        <f t="shared" si="2"/>
        <v/>
      </c>
      <c r="K47" s="20"/>
      <c r="L47" s="20"/>
      <c r="M47" s="23"/>
      <c r="N47" s="20"/>
      <c r="O47" s="23"/>
      <c r="P47" s="23"/>
      <c r="Q47" s="20"/>
      <c r="R47" s="23"/>
      <c r="S47" s="23"/>
      <c r="T47" s="11" t="str">
        <f t="array" ref="T47">IF(Q47&lt;&gt;"Ja","",IF(R47="","",CHOOSE(MAX(IF(OR(I47="10. Kup",I47="9. Kup",I47="8. Kup"),4,IF(OR(I47="7. Kup",I47="6. Kup",I47="5. Kup"),3,IF(OR(I47="4. Kup",I47="3. Kup",I47="2. Kup"),2,IF(I47&lt;&gt;"",1,0)))),IF(OR(IF(IFERROR(VALUE(LEFT(R47,FIND(":",R47)-1)),0)=0,"",INDEX($I$18:$I$47,IFERROR(VALUE(LEFT(R47,FIND(":",R47)-1)),0)))="10. Kup",IF(IFERROR(VALUE(LEFT(R47,FIND(":",R47)-1)),0)=0,"",INDEX($I$18:$I$47,IFERROR(VALUE(LEFT(R47,FIND(":",R47)-1)),0)))="9. Kup",IF(IFERROR(VALUE(LEFT(R47,FIND(":",R47)-1)),0)=0,"",INDEX($I$18:$I$47,IFERROR(VALUE(LEFT(R47,FIND(":",R47)-1)),0)))="8. Kup"),4,IF(OR(IF(IFERROR(VALUE(LEFT(R47,FIND(":",R47)-1)),0)=0,"",INDEX($I$18:$I$47,IFERROR(VALUE(LEFT(R47,FIND(":",R47)-1)),0)))="7. Kup",IF(IFERROR(VALUE(LEFT(R47,FIND(":",R47)-1)),0)=0,"",INDEX($I$18:$I$47,IFERROR(VALUE(LEFT(R47,FIND(":",R47)-1)),0)))="6. Kup",IF(IFERROR(VALUE(LEFT(R47,FIND(":",R47)-1)),0)=0,"",INDEX($I$18:$I$47,IFERROR(VALUE(LEFT(R47,FIND(":",R47)-1)),0)))="5. Kup"),3,IF(OR(IF(IFERROR(VALUE(LEFT(R47,FIND(":",R47)-1)),0)=0,"",INDEX($I$18:$I$47,IFERROR(VALUE(LEFT(R47,FIND(":",R47)-1)),0)))="4. Kup",IF(IFERROR(VALUE(LEFT(R47,FIND(":",R47)-1)),0)=0,"",INDEX($I$18:$I$47,IFERROR(VALUE(LEFT(R47,FIND(":",R47)-1)),0)))="3. Kup",IF(IFERROR(VALUE(LEFT(R47,FIND(":",R47)-1)),0)=0,"",INDEX($I$18:$I$47,IFERROR(VALUE(LEFT(R47,FIND(":",R47)-1)),0)))="2. Kup"),2,IF(IF(IFERROR(VALUE(LEFT(R47,FIND(":",R47)-1)),0)=0,"",INDEX($I$18:$I$47,IFERROR(VALUE(LEFT(R47,FIND(":",R47)-1)),0)))&lt;&gt;"",1,0)))),IF(OR(IF(IFERROR(VALUE(LEFT(S47,FIND(":",S47)-1)),0)=0,"",INDEX($I$18:$I$47,IFERROR(VALUE(LEFT(S47,FIND(":",S47)-1)),0)))="10. Kup",IF(IFERROR(VALUE(LEFT(S47,FIND(":",S47)-1)),0)=0,"",INDEX($I$18:$I$47,IFERROR(VALUE(LEFT(S47,FIND(":",S47)-1)),0)))="9. Kup",IF(IFERROR(VALUE(LEFT(S47,FIND(":",S47)-1)),0)=0,"",INDEX($I$18:$I$47,IFERROR(VALUE(LEFT(S47,FIND(":",S47)-1)),0)))="8. Kup"),4,IF(OR(IF(IFERROR(VALUE(LEFT(S47,FIND(":",S47)-1)),0)=0,"",INDEX($I$18:$I$47,IFERROR(VALUE(LEFT(S47,FIND(":",S47)-1)),0)))="7. Kup",IF(IFERROR(VALUE(LEFT(S47,FIND(":",S47)-1)),0)=0,"",INDEX($I$18:$I$47,IFERROR(VALUE(LEFT(S47,FIND(":",S47)-1)),0)))="6. Kup",IF(IFERROR(VALUE(LEFT(S47,FIND(":",S47)-1)),0)=0,"",INDEX($I$18:$I$47,IFERROR(VALUE(LEFT(S47,FIND(":",S47)-1)),0)))="5. Kup"),3,IF(OR(IF(IFERROR(VALUE(LEFT(S47,FIND(":",S47)-1)),0)=0,"",INDEX($I$18:$I$47,IFERROR(VALUE(LEFT(S47,FIND(":",S47)-1)),0)))="4. Kup",IF(IFERROR(VALUE(LEFT(S47,FIND(":",S47)-1)),0)=0,"",INDEX($I$18:$I$47,IFERROR(VALUE(LEFT(S47,FIND(":",S47)-1)),0)))="3. Kup",IF(IFERROR(VALUE(LEFT(S47,FIND(":",S47)-1)),0)=0,"",INDEX($I$18:$I$47,IFERROR(VALUE(LEFT(S47,FIND(":",S47)-1)),0)))="2. Kup"),2,IF(IF(IFERROR(VALUE(LEFT(S47,FIND(":",S47)-1)),0)=0,"",INDEX($I$18:$I$47,IFERROR(VALUE(LEFT(S47,FIND(":",S47)-1)),0)))&lt;&gt;"",1,0))))),"LK1","LK2","LK3","LK4")))</f>
        <v/>
      </c>
      <c r="U47" s="20"/>
      <c r="V47" s="23"/>
      <c r="W47" s="20"/>
      <c r="X47" s="20"/>
      <c r="Y47" s="12" t="str">
        <f t="shared" si="3"/>
        <v/>
      </c>
      <c r="Z47" s="6"/>
      <c r="AA47" s="6"/>
      <c r="AB47" s="44" t="str">
        <f t="shared" si="4"/>
        <v/>
      </c>
    </row>
    <row r="48" spans="1:28" ht="14.25" customHeight="1" x14ac:dyDescent="0.4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46">
        <f>SUM(AB18:AB47)</f>
        <v>0</v>
      </c>
    </row>
    <row r="49" spans="1:28" ht="14.2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14.25" customHeight="1" x14ac:dyDescent="0.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14.25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ht="14.2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 spans="1:28" ht="14.2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 spans="1:28" ht="14.2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 spans="1:28" ht="14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 spans="1:28" ht="14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 spans="1:28" ht="14.2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</row>
    <row r="58" spans="1:28" ht="14.2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28" ht="14.2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 spans="1:28" ht="14.2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4.2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</row>
    <row r="62" spans="1:28" ht="14.2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 spans="1:28" ht="14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</row>
    <row r="64" spans="1:28" ht="14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 spans="1:28" ht="14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</row>
    <row r="66" spans="1:28" ht="14.2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</row>
    <row r="67" spans="1:28" ht="14.2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</row>
    <row r="68" spans="1:28" ht="14.2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</row>
    <row r="69" spans="1:28" ht="14.2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</row>
    <row r="70" spans="1:28" ht="14.2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8" ht="14.2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</row>
    <row r="72" spans="1:28" ht="14.2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</row>
    <row r="73" spans="1:28" ht="14.2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 spans="1:28" ht="14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</row>
    <row r="75" spans="1:28" ht="14.2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</row>
    <row r="76" spans="1:28" ht="14.2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</row>
    <row r="77" spans="1:28" ht="14.2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 spans="1:28" ht="14.2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</row>
    <row r="79" spans="1:28" ht="14.2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</row>
    <row r="80" spans="1:28" ht="14.2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</row>
    <row r="81" spans="1:28" ht="14.2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</row>
    <row r="82" spans="1:28" ht="14.2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</row>
    <row r="83" spans="1:28" ht="14.2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</row>
    <row r="84" spans="1:28" ht="14.2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</row>
    <row r="85" spans="1:28" ht="14.2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</row>
    <row r="86" spans="1:28" ht="14.2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</row>
    <row r="87" spans="1:28" ht="14.2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 spans="1:28" ht="14.2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 spans="1:28" ht="14.2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ht="14.2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 spans="1:28" ht="14.2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 spans="1:28" ht="14.2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 spans="1:28" ht="14.2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1:28" ht="14.2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28" ht="14.2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28" ht="14.2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 spans="1:28" ht="14.2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 spans="1:28" ht="14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28" ht="14.2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28" ht="14.2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28" ht="14.2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28" ht="14.2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28" ht="14.2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ht="14.2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28" ht="14.2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28" ht="14.2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28" ht="14.2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28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</row>
  </sheetData>
  <sheetProtection algorithmName="SHA-512" hashValue="FI5Rtu18bGQZD+4LJDVOotDO8xedVoHT+hnjMBjmLnMPQWtFs2Tcuu73/2JmW6ym9WNa9+8U6LkUyX+I2LFy6g==" saltValue="vM5YPJLMfi2ZXMf0QOkWbA==" spinCount="100000" sheet="1" objects="1" scenarios="1" selectLockedCells="1" autoFilter="0"/>
  <mergeCells count="8">
    <mergeCell ref="B12:L12"/>
    <mergeCell ref="B10:C10"/>
    <mergeCell ref="B11:C11"/>
    <mergeCell ref="H10:I10"/>
    <mergeCell ref="H11:I11"/>
    <mergeCell ref="E10:F11"/>
    <mergeCell ref="D10:D11"/>
    <mergeCell ref="A8:AB8"/>
  </mergeCells>
  <phoneticPr fontId="7" type="noConversion"/>
  <conditionalFormatting sqref="A18:A47">
    <cfRule type="expression" dxfId="30" priority="2">
      <formula>$A18="OK"</formula>
    </cfRule>
    <cfRule type="expression" dxfId="29" priority="3">
      <formula>$A18="Partner fehlt"</formula>
    </cfRule>
    <cfRule type="expression" dxfId="28" priority="4">
      <formula>$A18="Disziplin fehlt"</formula>
    </cfRule>
  </conditionalFormatting>
  <conditionalFormatting sqref="Y18:Y47">
    <cfRule type="cellIs" dxfId="27" priority="1" operator="equal">
      <formula>"Nein"</formula>
    </cfRule>
  </conditionalFormatting>
  <dataValidations xWindow="409" yWindow="1328" count="4">
    <dataValidation type="list" allowBlank="1" showErrorMessage="1" sqref="H18:H47" xr:uid="{00000000-0002-0000-0000-00003C000000}">
      <formula1>"weiblich,männlich,divers"</formula1>
    </dataValidation>
    <dataValidation type="list" allowBlank="1" showErrorMessage="1" sqref="J18:J47" xr:uid="{00000000-0002-0000-0000-0000A0000000}">
      <formula1>"LK4,LK3,LK2,LK1"</formula1>
    </dataValidation>
    <dataValidation type="list" allowBlank="1" showErrorMessage="1" sqref="X18:X47 K18:L47 Q18:Q47 N18:N47 T18:U47" xr:uid="{00000000-0002-0000-0000-0000B1000000}">
      <formula1>"Ja,Nein"</formula1>
    </dataValidation>
    <dataValidation type="list" allowBlank="1" showErrorMessage="1" sqref="I18:J47 T18:T47" xr:uid="{00000000-0002-0000-0000-00009C000000}">
      <formula1>"10. Kup,9. Kup,8. Kup,7. Kup,6. Kup,5. Kup,4. Kup,3. Kup,2. Kup,1. Kup,1. Dan,2. Dan,3. Dan"</formula1>
    </dataValidation>
  </dataValidations>
  <hyperlinks>
    <hyperlink ref="B4" r:id="rId1" xr:uid="{905585A9-08AE-4F38-9F0F-2D2CF9BF8CD5}"/>
  </hyperlinks>
  <pageMargins left="0.70866141732283472" right="0.70866141732283472" top="0.78740157480314965" bottom="0.78740157480314965" header="0" footer="0"/>
  <pageSetup scale="25" orientation="landscape" r:id="rId2"/>
  <headerFooter>
    <oddHeader>&amp;L000000 C2 – zur internen Verwendung#_x000D_</oddHeader>
  </headerFooter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xWindow="409" yWindow="1328" count="241"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09000000}">
          <x14:formula1>
            <xm:f>IF($Q25="Ja",Partnerlisten!$BH$5:$BH$34,Partnerlisten!$EZ$1)</xm:f>
          </x14:formula1>
          <xm:sqref>T25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0A000000}">
          <x14:formula1>
            <xm:f>IF($Q26="Ja",Partnerlisten!$BP$5:$BP$34,Partnerlisten!$EZ$1)</xm:f>
          </x14:formula1>
          <xm:sqref>T26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0D000000}">
          <x14:formula1>
            <xm:f>IF($Q41="Ja",Partnerlisten!$GF$5:$GF$34,Partnerlisten!$EZ$1)</xm:f>
          </x14:formula1>
          <xm:sqref>T41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0F000000}">
          <x14:formula1>
            <xm:f>IF($Q41="Ja",Partnerlisten!$GG$5:$GG$34,Partnerlisten!$EZ$1)</xm:f>
          </x14:formula1>
          <xm:sqref>T41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10000000}">
          <x14:formula1>
            <xm:f>IF($Q29="Ja",Partnerlisten!$CN$5:$CN$34,Partnerlisten!$EZ$1)</xm:f>
          </x14:formula1>
          <xm:sqref>T29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13000000}">
          <x14:formula1>
            <xm:f>IF($Q39="Ja",Partnerlisten!$FQ$5:$FQ$34,Partnerlisten!$EZ$1)</xm:f>
          </x14:formula1>
          <xm:sqref>T39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16000000}">
          <x14:formula1>
            <xm:f>IF($Q39="Ja",Partnerlisten!$FP$5:$FP$34,Partnerlisten!$EZ$1)</xm:f>
          </x14:formula1>
          <xm:sqref>T39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1C000000}">
          <x14:formula1>
            <xm:f>IF($Q24="Ja",Partnerlisten!$BA$5:$BA$34,Partnerlisten!$EZ$1)</xm:f>
          </x14:formula1>
          <xm:sqref>T24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1000000}">
          <x14:formula1>
            <xm:f>IF($Q18="Ja",Partnerlisten!$E$5:$E$34,Partnerlisten!$EZ$1)</xm:f>
          </x14:formula1>
          <xm:sqref>T18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4000000}">
          <x14:formula1>
            <xm:f>IF($Q40="Ja",Partnerlisten!$FY$5:$FY$34,Partnerlisten!$EZ$1)</xm:f>
          </x14:formula1>
          <xm:sqref>T40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26000000}">
          <x14:formula1>
            <xm:f>IF($Q31="Ja",Partnerlisten!$DD$5:$DD$34,Partnerlisten!$EZ$1)</xm:f>
          </x14:formula1>
          <xm:sqref>T31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9000000}">
          <x14:formula1>
            <xm:f>IF($Q42="Ja",Partnerlisten!$GO$5:$GO$34,Partnerlisten!$EZ$1)</xm:f>
          </x14:formula1>
          <xm:sqref>T42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B000000}">
          <x14:formula1>
            <xm:f>IF($Q20="Ja",Partnerlisten!$U$5:$U$34,Partnerlisten!$EZ$1)</xm:f>
          </x14:formula1>
          <xm:sqref>T20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2C000000}">
          <x14:formula1>
            <xm:f>IF($Q38="Ja",Partnerlisten!$FH$5:$FH$34,Partnerlisten!$EZ$1)</xm:f>
          </x14:formula1>
          <xm:sqref>T38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D000000}">
          <x14:formula1>
            <xm:f>IF($Q21="Ja",Partnerlisten!$AC$5:$AC$34,Partnerlisten!$EZ$1)</xm:f>
          </x14:formula1>
          <xm:sqref>T21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2E000000}">
          <x14:formula1>
            <xm:f>IF($Q19="Ja",Partnerlisten!$L$5:$L$34,Partnerlisten!$EZ$1)</xm:f>
          </x14:formula1>
          <xm:sqref>T19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2F000000}">
          <x14:formula1>
            <xm:f>IF($Q27="Ja",Partnerlisten!$BY$5:$BY$34,Partnerlisten!$EZ$1)</xm:f>
          </x14:formula1>
          <xm:sqref>T27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30000000}">
          <x14:formula1>
            <xm:f>IF($Q18="Ja",Partnerlisten!$D$5:$D$34,Partnerlisten!$EZ$1)</xm:f>
          </x14:formula1>
          <xm:sqref>T18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35000000}">
          <x14:formula1>
            <xm:f>IF($Q45="Ja",Partnerlisten!$HM$5:$HM$34,Partnerlisten!$EZ$1)</xm:f>
          </x14:formula1>
          <xm:sqref>T45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37000000}">
          <x14:formula1>
            <xm:f>IF($Q37="Ja",Partnerlisten!$EZ$5:$EZ$34,Partnerlisten!$EZ$1)</xm:f>
          </x14:formula1>
          <xm:sqref>T37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3A000000}">
          <x14:formula1>
            <xm:f>IF($Q28="Ja",Partnerlisten!$CF$5:$CF$34,Partnerlisten!$EZ$1)</xm:f>
          </x14:formula1>
          <xm:sqref>T28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3B000000}">
          <x14:formula1>
            <xm:f>IF($Q35="Ja",Partnerlisten!$EK$5:$EK$34,Partnerlisten!$EZ$1)</xm:f>
          </x14:formula1>
          <xm:sqref>T35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40000000}">
          <x14:formula1>
            <xm:f>IF($Q32="Ja",Partnerlisten!$DM$5:$DM$34,Partnerlisten!$EZ$1)</xm:f>
          </x14:formula1>
          <xm:sqref>T32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42000000}">
          <x14:formula1>
            <xm:f>IF($Q32="Ja",Partnerlisten!$DL$5:$DL$34,Partnerlisten!$EZ$1)</xm:f>
          </x14:formula1>
          <xm:sqref>T32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46000000}">
          <x14:formula1>
            <xm:f>IF($Q28="Ja",Partnerlisten!$CG$5:$CG$34,Partnerlisten!$EZ$1)</xm:f>
          </x14:formula1>
          <xm:sqref>T28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4A000000}">
          <x14:formula1>
            <xm:f>IF($Q34="Ja",Partnerlisten!$EB$5:$EB$34,Partnerlisten!$EZ$1)</xm:f>
          </x14:formula1>
          <xm:sqref>T34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4B000000}">
          <x14:formula1>
            <xm:f>IF($Q40="Ja",Partnerlisten!$FX$5:$FX$34,Partnerlisten!$EZ$1)</xm:f>
          </x14:formula1>
          <xm:sqref>T40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4C000000}">
          <x14:formula1>
            <xm:f>IF($Q46="Ja",Partnerlisten!$HU$5:$HU$34,Partnerlisten!$EZ$1)</xm:f>
          </x14:formula1>
          <xm:sqref>T46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4E000000}">
          <x14:formula1>
            <xm:f>IF($Q27="Ja",Partnerlisten!$BX$5:$BX$34,Partnerlisten!$EZ$1)</xm:f>
          </x14:formula1>
          <xm:sqref>T27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51000000}">
          <x14:formula1>
            <xm:f>IF($Q38="Ja",Partnerlisten!$FI$5:$FI$34,Partnerlisten!$EZ$1)</xm:f>
          </x14:formula1>
          <xm:sqref>T38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5A000000}">
          <x14:formula1>
            <xm:f>IF($Q20="Ja",Partnerlisten!$T$5:$T$34,Partnerlisten!$EZ$1)</xm:f>
          </x14:formula1>
          <xm:sqref>T20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5B000000}">
          <x14:formula1>
            <xm:f>IF($Q21="Ja",Partnerlisten!$AB$5:$AB$34,Partnerlisten!$EZ$1)</xm:f>
          </x14:formula1>
          <xm:sqref>T21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5F000000}">
          <x14:formula1>
            <xm:f>IF($Q29="Ja",Partnerlisten!$CO$5:$CO$34,Partnerlisten!$EZ$1)</xm:f>
          </x14:formula1>
          <xm:sqref>T29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61000000}">
          <x14:formula1>
            <xm:f>IF($Q43="Ja",Partnerlisten!$GW$5:$GW$34,Partnerlisten!$EZ$1)</xm:f>
          </x14:formula1>
          <xm:sqref>T43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64000000}">
          <x14:formula1>
            <xm:f>IF($Q43="Ja",Partnerlisten!$GV$5:$GV$34,Partnerlisten!$EZ$1)</xm:f>
          </x14:formula1>
          <xm:sqref>T43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67000000}">
          <x14:formula1>
            <xm:f>IF($Q19="Ja",Partnerlisten!$M$5:$M$34,Partnerlisten!$EZ$1)</xm:f>
          </x14:formula1>
          <xm:sqref>T19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68000000}">
          <x14:formula1>
            <xm:f>IF($Q36="Ja",Partnerlisten!$ES$5:$ES$34,Partnerlisten!$EZ$1)</xm:f>
          </x14:formula1>
          <xm:sqref>T36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6A000000}">
          <x14:formula1>
            <xm:f>IF($Q44="Ja",Partnerlisten!$HE$5:$HE$34,Partnerlisten!$EZ$1)</xm:f>
          </x14:formula1>
          <xm:sqref>T44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6B000000}">
          <x14:formula1>
            <xm:f>IF($Q36="Ja",Partnerlisten!$ER$5:$ER$34,Partnerlisten!$EZ$1)</xm:f>
          </x14:formula1>
          <xm:sqref>T36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72000000}">
          <x14:formula1>
            <xm:f>IF($Q44="Ja",Partnerlisten!$HD$5:$HD$34,Partnerlisten!$EZ$1)</xm:f>
          </x14:formula1>
          <xm:sqref>T44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75000000}">
          <x14:formula1>
            <xm:f>IF($Q46="Ja",Partnerlisten!$HT$5:$HT$34,Partnerlisten!$EZ$1)</xm:f>
          </x14:formula1>
          <xm:sqref>T46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76000000}">
          <x14:formula1>
            <xm:f>IF($Q24="Ja",Partnerlisten!$AZ$5:$AZ$34,Partnerlisten!$EZ$1)</xm:f>
          </x14:formula1>
          <xm:sqref>T24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79000000}">
          <x14:formula1>
            <xm:f>IF($Q30="Ja",Partnerlisten!$CV$5:$CV$34,Partnerlisten!$EZ$1)</xm:f>
          </x14:formula1>
          <xm:sqref>T30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7A000000}">
          <x14:formula1>
            <xm:f>IF($Q33="Ja",Partnerlisten!$DU$5:$DU$34,Partnerlisten!$EZ$1)</xm:f>
          </x14:formula1>
          <xm:sqref>T33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83000000}">
          <x14:formula1>
            <xm:f>IF($Q34="Ja",Partnerlisten!$EC$5:$EC$34,Partnerlisten!$EZ$1)</xm:f>
          </x14:formula1>
          <xm:sqref>T34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87000000}">
          <x14:formula1>
            <xm:f>IF($Q25="Ja",Partnerlisten!$BI$5:$BI$34,Partnerlisten!$EZ$1)</xm:f>
          </x14:formula1>
          <xm:sqref>T25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88000000}">
          <x14:formula1>
            <xm:f>IF($Q26="Ja",Partnerlisten!$BQ$5:$BQ$34,Partnerlisten!$EZ$1)</xm:f>
          </x14:formula1>
          <xm:sqref>T26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8A000000}">
          <x14:formula1>
            <xm:f>IF($Q47="Ja",Partnerlisten!$IB$5:$IB$34,Partnerlisten!$EZ$1)</xm:f>
          </x14:formula1>
          <xm:sqref>T47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8E000000}">
          <x14:formula1>
            <xm:f>IF($Q45="Ja",Partnerlisten!$HL$5:$HL$34,Partnerlisten!$EZ$1)</xm:f>
          </x14:formula1>
          <xm:sqref>T45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8F000000}">
          <x14:formula1>
            <xm:f>IF($Q47="Ja",Partnerlisten!$IC$5:$IC$34,Partnerlisten!$EZ$1)</xm:f>
          </x14:formula1>
          <xm:sqref>T47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92000000}">
          <x14:formula1>
            <xm:f>IF($Q23="Ja",Partnerlisten!$AR$5:$AR$34,Partnerlisten!$EZ$1)</xm:f>
          </x14:formula1>
          <xm:sqref>T23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9B000000}">
          <x14:formula1>
            <xm:f>IF($Q22="Ja",Partnerlisten!$AK$5:$AK$34,Partnerlisten!$EZ$1)</xm:f>
          </x14:formula1>
          <xm:sqref>T22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A2000000}">
          <x14:formula1>
            <xm:f>IF($Q35="Ja",Partnerlisten!$EJ$5:$EJ$34,Partnerlisten!$EZ$1)</xm:f>
          </x14:formula1>
          <xm:sqref>T35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A6000000}">
          <x14:formula1>
            <xm:f>IF($Q22="Ja",Partnerlisten!$AJ$5:$AJ$34,Partnerlisten!$EZ$1)</xm:f>
          </x14:formula1>
          <xm:sqref>T22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AE000000}">
          <x14:formula1>
            <xm:f>IF($Q37="Ja",Partnerlisten!$FA$5:$FA$34,Partnerlisten!$EZ$1)</xm:f>
          </x14:formula1>
          <xm:sqref>T37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B2000000}">
          <x14:formula1>
            <xm:f>IF($Q30="Ja",Partnerlisten!$CW$5:$CW$34,Partnerlisten!$EZ$1)</xm:f>
          </x14:formula1>
          <xm:sqref>T30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B3000000}">
          <x14:formula1>
            <xm:f>IF($Q33="Ja",Partnerlisten!$DT$5:$DT$34,Partnerlisten!$EZ$1)</xm:f>
          </x14:formula1>
          <xm:sqref>T33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B4000000}">
          <x14:formula1>
            <xm:f>IF($Q31="Ja",Partnerlisten!$DE$5:$DE$34,Partnerlisten!$EZ$1)</xm:f>
          </x14:formula1>
          <xm:sqref>T31</xm:sqref>
        </x14:dataValidation>
        <x14:dataValidation type="list" allowBlank="1" showInputMessage="1" showErrorMessage="1" prompt="Poomsae Family Mitglied 2: ungültige Auswahl - Innerhalb derselben Disziplin wird eine bereits gewählte Person nicht erneut angeboten." xr:uid="{00000000-0002-0000-0000-0000B7000000}">
          <x14:formula1>
            <xm:f>IF($Q42="Ja",Partnerlisten!$GN$5:$GN$34,Partnerlisten!$EZ$1)</xm:f>
          </x14:formula1>
          <xm:sqref>T42</xm:sqref>
        </x14:dataValidation>
        <x14:dataValidation type="list" allowBlank="1" showInputMessage="1" showErrorMessage="1" prompt="Poomsae Family Mitglied 3: ungültige Auswahl - Innerhalb derselben Disziplin wird eine bereits gewählte Person nicht erneut angeboten." xr:uid="{00000000-0002-0000-0000-0000B8000000}">
          <x14:formula1>
            <xm:f>IF($Q23="Ja",Partnerlisten!$AS$5:$AS$34,Partnerlisten!$EZ$1)</xm:f>
          </x14:formula1>
          <xm:sqref>T23</xm:sqref>
        </x14:dataValidation>
        <x14:dataValidation type="list" allowBlank="1" showInputMessage="1" showErrorMessage="1" errorTitle="Auswahl prüfen" error="Bitte einen Namen aus der Vorschlagsliste auswählen." xr:uid="{25B30A2F-E9C0-4E2D-A1CA-498EBF602D5D}">
          <x14:formula1>
            <xm:f>IF($L18="Ja",Partnerlisten!$A$5:$A$34,Partnerlisten!$EZ$1)</xm:f>
          </x14:formula1>
          <xm:sqref>M18</xm:sqref>
        </x14:dataValidation>
        <x14:dataValidation type="list" allowBlank="1" showInputMessage="1" showErrorMessage="1" errorTitle="Auswahl prüfen" error="Bitte einen Namen aus der Vorschlagsliste auswählen." xr:uid="{D1CA71F6-28DE-49A7-A4B5-82C54C80DCC3}">
          <x14:formula1>
            <xm:f>IF($N18="Ja",Partnerlisten!$B$5:$B$34,Partnerlisten!$EZ$1)</xm:f>
          </x14:formula1>
          <xm:sqref>O18</xm:sqref>
        </x14:dataValidation>
        <x14:dataValidation type="list" allowBlank="1" showInputMessage="1" showErrorMessage="1" errorTitle="Auswahl prüfen" error="Bitte einen Namen aus der Vorschlagsliste auswählen." xr:uid="{3EC0C815-B237-4BB0-81C8-98012D564BD5}">
          <x14:formula1>
            <xm:f>IF($N18="Ja",Partnerlisten!$C$5:$C$34,Partnerlisten!$EZ$1)</xm:f>
          </x14:formula1>
          <xm:sqref>P18</xm:sqref>
        </x14:dataValidation>
        <x14:dataValidation type="list" allowBlank="1" showInputMessage="1" showErrorMessage="1" errorTitle="Auswahl prüfen" error="Bitte einen Namen aus der Vorschlagsliste auswählen." xr:uid="{588C2886-26B2-4AE3-A6F5-AE755FBBA3E4}">
          <x14:formula1>
            <xm:f>IF($Q18="Ja",Partnerlisten!$D$5:$D$34,Partnerlisten!$EZ$1)</xm:f>
          </x14:formula1>
          <xm:sqref>R18</xm:sqref>
        </x14:dataValidation>
        <x14:dataValidation type="list" allowBlank="1" showInputMessage="1" showErrorMessage="1" errorTitle="Auswahl prüfen" error="Bitte einen Namen aus der Vorschlagsliste auswählen." xr:uid="{7F26629C-5F57-4576-A542-6018F1B684BE}">
          <x14:formula1>
            <xm:f>IF($Q18="Ja",Partnerlisten!$E$5:$E$34,Partnerlisten!$EZ$1)</xm:f>
          </x14:formula1>
          <xm:sqref>S18</xm:sqref>
        </x14:dataValidation>
        <x14:dataValidation type="list" allowBlank="1" showInputMessage="1" showErrorMessage="1" errorTitle="Auswahl prüfen" error="Bitte einen Namen aus der Vorschlagsliste auswählen." xr:uid="{964C46D5-40CF-4D7E-94FA-052C3A9DF9B9}">
          <x14:formula1>
            <xm:f>IF($L19="Ja",Partnerlisten!$I$5:$I$34,Partnerlisten!$EZ$1)</xm:f>
          </x14:formula1>
          <xm:sqref>M19</xm:sqref>
        </x14:dataValidation>
        <x14:dataValidation type="list" allowBlank="1" showInputMessage="1" showErrorMessage="1" errorTitle="Auswahl prüfen" error="Bitte einen Namen aus der Vorschlagsliste auswählen." xr:uid="{88F7A0A0-948D-43B9-B7E7-1FC7BA1B3004}">
          <x14:formula1>
            <xm:f>IF($N19="Ja",Partnerlisten!$J$5:$J$34,Partnerlisten!$EZ$1)</xm:f>
          </x14:formula1>
          <xm:sqref>O19</xm:sqref>
        </x14:dataValidation>
        <x14:dataValidation type="list" allowBlank="1" showInputMessage="1" showErrorMessage="1" errorTitle="Auswahl prüfen" error="Bitte einen Namen aus der Vorschlagsliste auswählen." xr:uid="{16B2EC67-E9B5-42C4-A3CF-F730EA78F00D}">
          <x14:formula1>
            <xm:f>IF($N19="Ja",Partnerlisten!$K$5:$K$34,Partnerlisten!$EZ$1)</xm:f>
          </x14:formula1>
          <xm:sqref>P19</xm:sqref>
        </x14:dataValidation>
        <x14:dataValidation type="list" allowBlank="1" showInputMessage="1" showErrorMessage="1" errorTitle="Auswahl prüfen" error="Bitte einen Namen aus der Vorschlagsliste auswählen." xr:uid="{09958582-6A8E-4042-BDBE-58C22994B7FC}">
          <x14:formula1>
            <xm:f>IF($Q19="Ja",Partnerlisten!$L$5:$L$34,Partnerlisten!$EZ$1)</xm:f>
          </x14:formula1>
          <xm:sqref>R19</xm:sqref>
        </x14:dataValidation>
        <x14:dataValidation type="list" allowBlank="1" showInputMessage="1" showErrorMessage="1" errorTitle="Auswahl prüfen" error="Bitte einen Namen aus der Vorschlagsliste auswählen." xr:uid="{ABED1A60-1FD7-4E83-98A4-1A617B7B809B}">
          <x14:formula1>
            <xm:f>IF($Q19="Ja",Partnerlisten!$M$5:$M$34,Partnerlisten!$EZ$1)</xm:f>
          </x14:formula1>
          <xm:sqref>S19</xm:sqref>
        </x14:dataValidation>
        <x14:dataValidation type="list" allowBlank="1" showInputMessage="1" showErrorMessage="1" errorTitle="Auswahl prüfen" error="Bitte einen Namen aus der Vorschlagsliste auswählen." xr:uid="{E959CEF0-BF48-4684-9A48-602E394570DF}">
          <x14:formula1>
            <xm:f>IF($L20="Ja",Partnerlisten!$Q$5:$Q$34,Partnerlisten!$EZ$1)</xm:f>
          </x14:formula1>
          <xm:sqref>M20</xm:sqref>
        </x14:dataValidation>
        <x14:dataValidation type="list" allowBlank="1" showInputMessage="1" showErrorMessage="1" errorTitle="Auswahl prüfen" error="Bitte einen Namen aus der Vorschlagsliste auswählen." xr:uid="{27CAB971-357F-4957-958C-CE1497715DDB}">
          <x14:formula1>
            <xm:f>IF($N20="Ja",Partnerlisten!$R$5:$R$34,Partnerlisten!$EZ$1)</xm:f>
          </x14:formula1>
          <xm:sqref>O20</xm:sqref>
        </x14:dataValidation>
        <x14:dataValidation type="list" allowBlank="1" showInputMessage="1" showErrorMessage="1" errorTitle="Auswahl prüfen" error="Bitte einen Namen aus der Vorschlagsliste auswählen." xr:uid="{B6175783-0B18-4F4B-8431-935DBEDEF453}">
          <x14:formula1>
            <xm:f>IF($N20="Ja",Partnerlisten!$S$5:$S$34,Partnerlisten!$EZ$1)</xm:f>
          </x14:formula1>
          <xm:sqref>P20</xm:sqref>
        </x14:dataValidation>
        <x14:dataValidation type="list" allowBlank="1" showInputMessage="1" showErrorMessage="1" errorTitle="Auswahl prüfen" error="Bitte einen Namen aus der Vorschlagsliste auswählen." xr:uid="{8308C371-7597-4778-8B93-231FE931D7F4}">
          <x14:formula1>
            <xm:f>IF($Q20="Ja",Partnerlisten!$T$5:$T$34,Partnerlisten!$EZ$1)</xm:f>
          </x14:formula1>
          <xm:sqref>R20</xm:sqref>
        </x14:dataValidation>
        <x14:dataValidation type="list" allowBlank="1" showInputMessage="1" showErrorMessage="1" errorTitle="Auswahl prüfen" error="Bitte einen Namen aus der Vorschlagsliste auswählen." xr:uid="{27E1EA3C-5244-4810-8C78-CC2A86076A15}">
          <x14:formula1>
            <xm:f>IF($Q20="Ja",Partnerlisten!$U$5:$U$34,Partnerlisten!$EZ$1)</xm:f>
          </x14:formula1>
          <xm:sqref>S20</xm:sqref>
        </x14:dataValidation>
        <x14:dataValidation type="list" allowBlank="1" showInputMessage="1" showErrorMessage="1" errorTitle="Auswahl prüfen" error="Bitte einen Namen aus der Vorschlagsliste auswählen." xr:uid="{349D951A-F1FE-45DF-B7E7-B9962F158ED4}">
          <x14:formula1>
            <xm:f>IF($L21="Ja",Partnerlisten!$Y$5:$Y$34,Partnerlisten!$EZ$1)</xm:f>
          </x14:formula1>
          <xm:sqref>M21</xm:sqref>
        </x14:dataValidation>
        <x14:dataValidation type="list" allowBlank="1" showInputMessage="1" showErrorMessage="1" errorTitle="Auswahl prüfen" error="Bitte einen Namen aus der Vorschlagsliste auswählen." xr:uid="{8B9AB0D0-04B1-46FD-BA70-57D135D03C95}">
          <x14:formula1>
            <xm:f>IF($N21="Ja",Partnerlisten!$Z$5:$Z$34,Partnerlisten!$EZ$1)</xm:f>
          </x14:formula1>
          <xm:sqref>O21</xm:sqref>
        </x14:dataValidation>
        <x14:dataValidation type="list" allowBlank="1" showInputMessage="1" showErrorMessage="1" errorTitle="Auswahl prüfen" error="Bitte einen Namen aus der Vorschlagsliste auswählen." xr:uid="{5718069A-31EF-44C8-A97A-6A52F082BC01}">
          <x14:formula1>
            <xm:f>IF($N21="Ja",Partnerlisten!$AA$5:$AA$34,Partnerlisten!$EZ$1)</xm:f>
          </x14:formula1>
          <xm:sqref>P21</xm:sqref>
        </x14:dataValidation>
        <x14:dataValidation type="list" allowBlank="1" showInputMessage="1" showErrorMessage="1" errorTitle="Auswahl prüfen" error="Bitte einen Namen aus der Vorschlagsliste auswählen." xr:uid="{54B67735-84D7-435D-B049-D3D8469D5D55}">
          <x14:formula1>
            <xm:f>IF($Q21="Ja",Partnerlisten!$AB$5:$AB$34,Partnerlisten!$EZ$1)</xm:f>
          </x14:formula1>
          <xm:sqref>R21</xm:sqref>
        </x14:dataValidation>
        <x14:dataValidation type="list" allowBlank="1" showInputMessage="1" showErrorMessage="1" errorTitle="Auswahl prüfen" error="Bitte einen Namen aus der Vorschlagsliste auswählen." xr:uid="{0721161A-6EE9-43FF-8DC4-C0E750B583AB}">
          <x14:formula1>
            <xm:f>IF($Q21="Ja",Partnerlisten!$AC$5:$AC$34,Partnerlisten!$EZ$1)</xm:f>
          </x14:formula1>
          <xm:sqref>S21</xm:sqref>
        </x14:dataValidation>
        <x14:dataValidation type="list" allowBlank="1" showInputMessage="1" showErrorMessage="1" errorTitle="Auswahl prüfen" error="Bitte einen Namen aus der Vorschlagsliste auswählen." xr:uid="{3D886E9E-B49E-41AD-B36D-3648AC557311}">
          <x14:formula1>
            <xm:f>IF($L22="Ja",Partnerlisten!$AG$5:$AG$34,Partnerlisten!$EZ$1)</xm:f>
          </x14:formula1>
          <xm:sqref>M22</xm:sqref>
        </x14:dataValidation>
        <x14:dataValidation type="list" allowBlank="1" showInputMessage="1" showErrorMessage="1" errorTitle="Auswahl prüfen" error="Bitte einen Namen aus der Vorschlagsliste auswählen." xr:uid="{80AA9037-E8C0-4045-B896-6B793B185622}">
          <x14:formula1>
            <xm:f>IF($N22="Ja",Partnerlisten!$AH$5:$AH$34,Partnerlisten!$EZ$1)</xm:f>
          </x14:formula1>
          <xm:sqref>O22</xm:sqref>
        </x14:dataValidation>
        <x14:dataValidation type="list" allowBlank="1" showInputMessage="1" showErrorMessage="1" errorTitle="Auswahl prüfen" error="Bitte einen Namen aus der Vorschlagsliste auswählen." xr:uid="{B3FFC330-29FE-407C-9B92-BD1648D2CFC8}">
          <x14:formula1>
            <xm:f>IF($N22="Ja",Partnerlisten!$AI$5:$AI$34,Partnerlisten!$EZ$1)</xm:f>
          </x14:formula1>
          <xm:sqref>P22</xm:sqref>
        </x14:dataValidation>
        <x14:dataValidation type="list" allowBlank="1" showInputMessage="1" showErrorMessage="1" errorTitle="Auswahl prüfen" error="Bitte einen Namen aus der Vorschlagsliste auswählen." xr:uid="{453BB28C-40AB-4066-899C-11C3C81A1CC7}">
          <x14:formula1>
            <xm:f>IF($Q22="Ja",Partnerlisten!$AJ$5:$AJ$34,Partnerlisten!$EZ$1)</xm:f>
          </x14:formula1>
          <xm:sqref>R22</xm:sqref>
        </x14:dataValidation>
        <x14:dataValidation type="list" allowBlank="1" showInputMessage="1" showErrorMessage="1" errorTitle="Auswahl prüfen" error="Bitte einen Namen aus der Vorschlagsliste auswählen." xr:uid="{BD8B489F-5563-416C-9AC0-0FD94B8DB9D2}">
          <x14:formula1>
            <xm:f>IF($Q22="Ja",Partnerlisten!$AK$5:$AK$34,Partnerlisten!$EZ$1)</xm:f>
          </x14:formula1>
          <xm:sqref>S22</xm:sqref>
        </x14:dataValidation>
        <x14:dataValidation type="list" allowBlank="1" showInputMessage="1" showErrorMessage="1" errorTitle="Auswahl prüfen" error="Bitte einen Namen aus der Vorschlagsliste auswählen." xr:uid="{A59C2534-1CB8-4C7B-ADA7-EAA4E2F03CB7}">
          <x14:formula1>
            <xm:f>IF($L23="Ja",Partnerlisten!$AO$5:$AO$34,Partnerlisten!$EZ$1)</xm:f>
          </x14:formula1>
          <xm:sqref>M23</xm:sqref>
        </x14:dataValidation>
        <x14:dataValidation type="list" allowBlank="1" showInputMessage="1" showErrorMessage="1" errorTitle="Auswahl prüfen" error="Bitte einen Namen aus der Vorschlagsliste auswählen." xr:uid="{9686E16F-1463-46C9-AC42-555F53516E71}">
          <x14:formula1>
            <xm:f>IF($N23="Ja",Partnerlisten!$AP$5:$AP$34,Partnerlisten!$EZ$1)</xm:f>
          </x14:formula1>
          <xm:sqref>O23</xm:sqref>
        </x14:dataValidation>
        <x14:dataValidation type="list" allowBlank="1" showInputMessage="1" showErrorMessage="1" errorTitle="Auswahl prüfen" error="Bitte einen Namen aus der Vorschlagsliste auswählen." xr:uid="{343E1238-5E2F-4A58-A8F0-BCCDC09CEC9C}">
          <x14:formula1>
            <xm:f>IF($N23="Ja",Partnerlisten!$AQ$5:$AQ$34,Partnerlisten!$EZ$1)</xm:f>
          </x14:formula1>
          <xm:sqref>P23</xm:sqref>
        </x14:dataValidation>
        <x14:dataValidation type="list" allowBlank="1" showInputMessage="1" showErrorMessage="1" errorTitle="Auswahl prüfen" error="Bitte einen Namen aus der Vorschlagsliste auswählen." xr:uid="{6369CC93-AD0F-4ED8-B48A-06F408361667}">
          <x14:formula1>
            <xm:f>IF($Q23="Ja",Partnerlisten!$AR$5:$AR$34,Partnerlisten!$EZ$1)</xm:f>
          </x14:formula1>
          <xm:sqref>R23</xm:sqref>
        </x14:dataValidation>
        <x14:dataValidation type="list" allowBlank="1" showInputMessage="1" showErrorMessage="1" errorTitle="Auswahl prüfen" error="Bitte einen Namen aus der Vorschlagsliste auswählen." xr:uid="{4A66505C-A0CE-432F-A8ED-2538AA904521}">
          <x14:formula1>
            <xm:f>IF($Q23="Ja",Partnerlisten!$AS$5:$AS$34,Partnerlisten!$EZ$1)</xm:f>
          </x14:formula1>
          <xm:sqref>S23</xm:sqref>
        </x14:dataValidation>
        <x14:dataValidation type="list" allowBlank="1" showInputMessage="1" showErrorMessage="1" errorTitle="Auswahl prüfen" error="Bitte einen Namen aus der Vorschlagsliste auswählen." xr:uid="{0CF95D66-D50C-414F-B14D-5FB21E479F6A}">
          <x14:formula1>
            <xm:f>IF($L24="Ja",Partnerlisten!$AW$5:$AW$34,Partnerlisten!$EZ$1)</xm:f>
          </x14:formula1>
          <xm:sqref>M24</xm:sqref>
        </x14:dataValidation>
        <x14:dataValidation type="list" allowBlank="1" showInputMessage="1" showErrorMessage="1" errorTitle="Auswahl prüfen" error="Bitte einen Namen aus der Vorschlagsliste auswählen." xr:uid="{490DAB73-05DD-4516-B110-23C8C7124B91}">
          <x14:formula1>
            <xm:f>IF($N24="Ja",Partnerlisten!$AX$5:$AX$34,Partnerlisten!$EZ$1)</xm:f>
          </x14:formula1>
          <xm:sqref>O24</xm:sqref>
        </x14:dataValidation>
        <x14:dataValidation type="list" allowBlank="1" showInputMessage="1" showErrorMessage="1" errorTitle="Auswahl prüfen" error="Bitte einen Namen aus der Vorschlagsliste auswählen." xr:uid="{92CF4899-450C-4C4C-BA35-32F960B4C8B5}">
          <x14:formula1>
            <xm:f>IF($N24="Ja",Partnerlisten!$AY$5:$AY$34,Partnerlisten!$EZ$1)</xm:f>
          </x14:formula1>
          <xm:sqref>P24</xm:sqref>
        </x14:dataValidation>
        <x14:dataValidation type="list" allowBlank="1" showInputMessage="1" showErrorMessage="1" errorTitle="Auswahl prüfen" error="Bitte einen Namen aus der Vorschlagsliste auswählen." xr:uid="{590C4C03-49D7-4ACA-9710-13321B05BCEC}">
          <x14:formula1>
            <xm:f>IF($Q24="Ja",Partnerlisten!$AZ$5:$AZ$34,Partnerlisten!$EZ$1)</xm:f>
          </x14:formula1>
          <xm:sqref>R24</xm:sqref>
        </x14:dataValidation>
        <x14:dataValidation type="list" allowBlank="1" showInputMessage="1" showErrorMessage="1" errorTitle="Auswahl prüfen" error="Bitte einen Namen aus der Vorschlagsliste auswählen." xr:uid="{E938038C-5D87-45F2-BC3E-A40B12BDF5D9}">
          <x14:formula1>
            <xm:f>IF($Q24="Ja",Partnerlisten!$BA$5:$BA$34,Partnerlisten!$EZ$1)</xm:f>
          </x14:formula1>
          <xm:sqref>S24</xm:sqref>
        </x14:dataValidation>
        <x14:dataValidation type="list" allowBlank="1" showInputMessage="1" showErrorMessage="1" errorTitle="Auswahl prüfen" error="Bitte einen Namen aus der Vorschlagsliste auswählen." xr:uid="{D1F5BA43-7291-4203-999C-EC7E24D7147E}">
          <x14:formula1>
            <xm:f>IF($L25="Ja",Partnerlisten!$BE$5:$BE$34,Partnerlisten!$EZ$1)</xm:f>
          </x14:formula1>
          <xm:sqref>M25</xm:sqref>
        </x14:dataValidation>
        <x14:dataValidation type="list" allowBlank="1" showInputMessage="1" showErrorMessage="1" errorTitle="Auswahl prüfen" error="Bitte einen Namen aus der Vorschlagsliste auswählen." xr:uid="{4CE6FCAF-A659-4322-8792-689C01BC2831}">
          <x14:formula1>
            <xm:f>IF($N25="Ja",Partnerlisten!$BF$5:$BF$34,Partnerlisten!$EZ$1)</xm:f>
          </x14:formula1>
          <xm:sqref>O25</xm:sqref>
        </x14:dataValidation>
        <x14:dataValidation type="list" allowBlank="1" showInputMessage="1" showErrorMessage="1" errorTitle="Auswahl prüfen" error="Bitte einen Namen aus der Vorschlagsliste auswählen." xr:uid="{BDCF35F0-4A3E-4320-9D75-D0C297091DA6}">
          <x14:formula1>
            <xm:f>IF($N25="Ja",Partnerlisten!$BG$5:$BG$34,Partnerlisten!$EZ$1)</xm:f>
          </x14:formula1>
          <xm:sqref>P25</xm:sqref>
        </x14:dataValidation>
        <x14:dataValidation type="list" allowBlank="1" showInputMessage="1" showErrorMessage="1" errorTitle="Auswahl prüfen" error="Bitte einen Namen aus der Vorschlagsliste auswählen." xr:uid="{F3F20F81-34F5-46A1-B530-D0EEC11C2921}">
          <x14:formula1>
            <xm:f>IF($Q25="Ja",Partnerlisten!$BH$5:$BH$34,Partnerlisten!$EZ$1)</xm:f>
          </x14:formula1>
          <xm:sqref>R25</xm:sqref>
        </x14:dataValidation>
        <x14:dataValidation type="list" allowBlank="1" showInputMessage="1" showErrorMessage="1" errorTitle="Auswahl prüfen" error="Bitte einen Namen aus der Vorschlagsliste auswählen." xr:uid="{00ECEA78-78D0-49C9-8FA7-1E74AA9D01E5}">
          <x14:formula1>
            <xm:f>IF($Q25="Ja",Partnerlisten!$BI$5:$BI$34,Partnerlisten!$EZ$1)</xm:f>
          </x14:formula1>
          <xm:sqref>S25</xm:sqref>
        </x14:dataValidation>
        <x14:dataValidation type="list" allowBlank="1" showInputMessage="1" showErrorMessage="1" errorTitle="Auswahl prüfen" error="Bitte einen Namen aus der Vorschlagsliste auswählen." xr:uid="{96A36F2C-AC69-4993-8253-612E5B6CA3D0}">
          <x14:formula1>
            <xm:f>IF($L26="Ja",Partnerlisten!$BM$5:$BM$34,Partnerlisten!$EZ$1)</xm:f>
          </x14:formula1>
          <xm:sqref>M26</xm:sqref>
        </x14:dataValidation>
        <x14:dataValidation type="list" allowBlank="1" showInputMessage="1" showErrorMessage="1" errorTitle="Auswahl prüfen" error="Bitte einen Namen aus der Vorschlagsliste auswählen." xr:uid="{AB3A3BEB-F9F3-45F6-919D-779F738569DD}">
          <x14:formula1>
            <xm:f>IF($N26="Ja",Partnerlisten!$BN$5:$BN$34,Partnerlisten!$EZ$1)</xm:f>
          </x14:formula1>
          <xm:sqref>O26</xm:sqref>
        </x14:dataValidation>
        <x14:dataValidation type="list" allowBlank="1" showInputMessage="1" showErrorMessage="1" errorTitle="Auswahl prüfen" error="Bitte einen Namen aus der Vorschlagsliste auswählen." xr:uid="{8A0E1708-7D45-4C78-89D1-1FA907905257}">
          <x14:formula1>
            <xm:f>IF($N26="Ja",Partnerlisten!$BO$5:$BO$34,Partnerlisten!$EZ$1)</xm:f>
          </x14:formula1>
          <xm:sqref>P26</xm:sqref>
        </x14:dataValidation>
        <x14:dataValidation type="list" allowBlank="1" showInputMessage="1" showErrorMessage="1" errorTitle="Auswahl prüfen" error="Bitte einen Namen aus der Vorschlagsliste auswählen." xr:uid="{3F57101C-D948-46BB-9CA2-82BCDAC0EBCF}">
          <x14:formula1>
            <xm:f>IF($Q26="Ja",Partnerlisten!$BP$5:$BP$34,Partnerlisten!$EZ$1)</xm:f>
          </x14:formula1>
          <xm:sqref>R26</xm:sqref>
        </x14:dataValidation>
        <x14:dataValidation type="list" allowBlank="1" showInputMessage="1" showErrorMessage="1" errorTitle="Auswahl prüfen" error="Bitte einen Namen aus der Vorschlagsliste auswählen." xr:uid="{F9793557-76F1-4C71-A06E-50ECA684001E}">
          <x14:formula1>
            <xm:f>IF($Q26="Ja",Partnerlisten!$BQ$5:$BQ$34,Partnerlisten!$EZ$1)</xm:f>
          </x14:formula1>
          <xm:sqref>S26</xm:sqref>
        </x14:dataValidation>
        <x14:dataValidation type="list" allowBlank="1" showInputMessage="1" showErrorMessage="1" errorTitle="Auswahl prüfen" error="Bitte einen Namen aus der Vorschlagsliste auswählen." xr:uid="{863BE1A3-F5DF-4A07-AFA5-0A38814F94E9}">
          <x14:formula1>
            <xm:f>IF($L27="Ja",Partnerlisten!$BU$5:$BU$34,Partnerlisten!$EZ$1)</xm:f>
          </x14:formula1>
          <xm:sqref>M27</xm:sqref>
        </x14:dataValidation>
        <x14:dataValidation type="list" allowBlank="1" showInputMessage="1" showErrorMessage="1" errorTitle="Auswahl prüfen" error="Bitte einen Namen aus der Vorschlagsliste auswählen." xr:uid="{ABFEF9A1-0797-4BCD-9A3D-5C6F2250C10D}">
          <x14:formula1>
            <xm:f>IF($N27="Ja",Partnerlisten!$BV$5:$BV$34,Partnerlisten!$EZ$1)</xm:f>
          </x14:formula1>
          <xm:sqref>O27</xm:sqref>
        </x14:dataValidation>
        <x14:dataValidation type="list" allowBlank="1" showInputMessage="1" showErrorMessage="1" errorTitle="Auswahl prüfen" error="Bitte einen Namen aus der Vorschlagsliste auswählen." xr:uid="{1B1D23C3-14A4-4624-A146-3CC796A09B3F}">
          <x14:formula1>
            <xm:f>IF($N27="Ja",Partnerlisten!$BW$5:$BW$34,Partnerlisten!$EZ$1)</xm:f>
          </x14:formula1>
          <xm:sqref>P27</xm:sqref>
        </x14:dataValidation>
        <x14:dataValidation type="list" allowBlank="1" showInputMessage="1" showErrorMessage="1" errorTitle="Auswahl prüfen" error="Bitte einen Namen aus der Vorschlagsliste auswählen." xr:uid="{8ED727D3-1B09-451E-BADF-5507B7C725FA}">
          <x14:formula1>
            <xm:f>IF($Q27="Ja",Partnerlisten!$BX$5:$BX$34,Partnerlisten!$EZ$1)</xm:f>
          </x14:formula1>
          <xm:sqref>R27</xm:sqref>
        </x14:dataValidation>
        <x14:dataValidation type="list" allowBlank="1" showInputMessage="1" showErrorMessage="1" errorTitle="Auswahl prüfen" error="Bitte einen Namen aus der Vorschlagsliste auswählen." xr:uid="{6532224E-E17F-491C-9344-9712CC124BC7}">
          <x14:formula1>
            <xm:f>IF($Q27="Ja",Partnerlisten!$BY$5:$BY$34,Partnerlisten!$EZ$1)</xm:f>
          </x14:formula1>
          <xm:sqref>S27</xm:sqref>
        </x14:dataValidation>
        <x14:dataValidation type="list" allowBlank="1" showInputMessage="1" showErrorMessage="1" errorTitle="Auswahl prüfen" error="Bitte einen Namen aus der Vorschlagsliste auswählen." xr:uid="{3CB92300-7377-4573-ABF9-82E680151950}">
          <x14:formula1>
            <xm:f>IF($L28="Ja",Partnerlisten!$CC$5:$CC$34,Partnerlisten!$EZ$1)</xm:f>
          </x14:formula1>
          <xm:sqref>M28</xm:sqref>
        </x14:dataValidation>
        <x14:dataValidation type="list" allowBlank="1" showInputMessage="1" showErrorMessage="1" errorTitle="Auswahl prüfen" error="Bitte einen Namen aus der Vorschlagsliste auswählen." xr:uid="{6A4A3B67-65BB-424C-B698-6BB4164D44D2}">
          <x14:formula1>
            <xm:f>IF($N28="Ja",Partnerlisten!$CD$5:$CD$34,Partnerlisten!$EZ$1)</xm:f>
          </x14:formula1>
          <xm:sqref>O28</xm:sqref>
        </x14:dataValidation>
        <x14:dataValidation type="list" allowBlank="1" showInputMessage="1" showErrorMessage="1" errorTitle="Auswahl prüfen" error="Bitte einen Namen aus der Vorschlagsliste auswählen." xr:uid="{049C3122-9ED0-44D3-BBFF-52AA8A78233D}">
          <x14:formula1>
            <xm:f>IF($N28="Ja",Partnerlisten!$CE$5:$CE$34,Partnerlisten!$EZ$1)</xm:f>
          </x14:formula1>
          <xm:sqref>P28</xm:sqref>
        </x14:dataValidation>
        <x14:dataValidation type="list" allowBlank="1" showInputMessage="1" showErrorMessage="1" errorTitle="Auswahl prüfen" error="Bitte einen Namen aus der Vorschlagsliste auswählen." xr:uid="{7ABD5858-E6C7-4F22-876E-DCB925FE8CE6}">
          <x14:formula1>
            <xm:f>IF($Q28="Ja",Partnerlisten!$CF$5:$CF$34,Partnerlisten!$EZ$1)</xm:f>
          </x14:formula1>
          <xm:sqref>R28</xm:sqref>
        </x14:dataValidation>
        <x14:dataValidation type="list" allowBlank="1" showInputMessage="1" showErrorMessage="1" errorTitle="Auswahl prüfen" error="Bitte einen Namen aus der Vorschlagsliste auswählen." xr:uid="{1076E6F7-4410-49D8-A3BE-AC069CF3A775}">
          <x14:formula1>
            <xm:f>IF($Q28="Ja",Partnerlisten!$CG$5:$CG$34,Partnerlisten!$EZ$1)</xm:f>
          </x14:formula1>
          <xm:sqref>S28</xm:sqref>
        </x14:dataValidation>
        <x14:dataValidation type="list" allowBlank="1" showInputMessage="1" showErrorMessage="1" errorTitle="Auswahl prüfen" error="Bitte einen Namen aus der Vorschlagsliste auswählen." xr:uid="{93C82DF4-ADED-4A15-937B-B858D297A5F9}">
          <x14:formula1>
            <xm:f>IF($L29="Ja",Partnerlisten!$CK$5:$CK$34,Partnerlisten!$EZ$1)</xm:f>
          </x14:formula1>
          <xm:sqref>M29</xm:sqref>
        </x14:dataValidation>
        <x14:dataValidation type="list" allowBlank="1" showInputMessage="1" showErrorMessage="1" errorTitle="Auswahl prüfen" error="Bitte einen Namen aus der Vorschlagsliste auswählen." xr:uid="{5A12618A-2414-4D36-B1E0-5BC27C11B664}">
          <x14:formula1>
            <xm:f>IF($N29="Ja",Partnerlisten!$CL$5:$CL$34,Partnerlisten!$EZ$1)</xm:f>
          </x14:formula1>
          <xm:sqref>O29</xm:sqref>
        </x14:dataValidation>
        <x14:dataValidation type="list" allowBlank="1" showInputMessage="1" showErrorMessage="1" errorTitle="Auswahl prüfen" error="Bitte einen Namen aus der Vorschlagsliste auswählen." xr:uid="{1EBC179E-AA77-4A02-918B-64C98231EFC1}">
          <x14:formula1>
            <xm:f>IF($N29="Ja",Partnerlisten!$CM$5:$CM$34,Partnerlisten!$EZ$1)</xm:f>
          </x14:formula1>
          <xm:sqref>P29</xm:sqref>
        </x14:dataValidation>
        <x14:dataValidation type="list" allowBlank="1" showInputMessage="1" showErrorMessage="1" errorTitle="Auswahl prüfen" error="Bitte einen Namen aus der Vorschlagsliste auswählen." xr:uid="{95C07EBE-819D-41BB-A99B-9E69C9BC09DE}">
          <x14:formula1>
            <xm:f>IF($Q29="Ja",Partnerlisten!$CN$5:$CN$34,Partnerlisten!$EZ$1)</xm:f>
          </x14:formula1>
          <xm:sqref>R29</xm:sqref>
        </x14:dataValidation>
        <x14:dataValidation type="list" allowBlank="1" showInputMessage="1" showErrorMessage="1" errorTitle="Auswahl prüfen" error="Bitte einen Namen aus der Vorschlagsliste auswählen." xr:uid="{35E754B5-76A9-4B1E-BBBA-B625168BCE1D}">
          <x14:formula1>
            <xm:f>IF($Q29="Ja",Partnerlisten!$CO$5:$CO$34,Partnerlisten!$EZ$1)</xm:f>
          </x14:formula1>
          <xm:sqref>S29</xm:sqref>
        </x14:dataValidation>
        <x14:dataValidation type="list" allowBlank="1" showInputMessage="1" showErrorMessage="1" errorTitle="Auswahl prüfen" error="Bitte einen Namen aus der Vorschlagsliste auswählen." xr:uid="{A882DEA6-B340-4750-829E-B2306571599C}">
          <x14:formula1>
            <xm:f>IF($L30="Ja",Partnerlisten!$CS$5:$CS$34,Partnerlisten!$EZ$1)</xm:f>
          </x14:formula1>
          <xm:sqref>M30</xm:sqref>
        </x14:dataValidation>
        <x14:dataValidation type="list" allowBlank="1" showInputMessage="1" showErrorMessage="1" errorTitle="Auswahl prüfen" error="Bitte einen Namen aus der Vorschlagsliste auswählen." xr:uid="{4BF2E765-8F8C-4F0D-9533-652E3110041A}">
          <x14:formula1>
            <xm:f>IF($N30="Ja",Partnerlisten!$CT$5:$CT$34,Partnerlisten!$EZ$1)</xm:f>
          </x14:formula1>
          <xm:sqref>O30</xm:sqref>
        </x14:dataValidation>
        <x14:dataValidation type="list" allowBlank="1" showInputMessage="1" showErrorMessage="1" errorTitle="Auswahl prüfen" error="Bitte einen Namen aus der Vorschlagsliste auswählen." xr:uid="{59691F43-5E9A-453A-8B32-78F4E0B6E919}">
          <x14:formula1>
            <xm:f>IF($N30="Ja",Partnerlisten!$CU$5:$CU$34,Partnerlisten!$EZ$1)</xm:f>
          </x14:formula1>
          <xm:sqref>P30</xm:sqref>
        </x14:dataValidation>
        <x14:dataValidation type="list" allowBlank="1" showInputMessage="1" showErrorMessage="1" errorTitle="Auswahl prüfen" error="Bitte einen Namen aus der Vorschlagsliste auswählen." xr:uid="{67D0E4A8-1379-488A-823A-538EE4ED056D}">
          <x14:formula1>
            <xm:f>IF($Q30="Ja",Partnerlisten!$CV$5:$CV$34,Partnerlisten!$EZ$1)</xm:f>
          </x14:formula1>
          <xm:sqref>R30</xm:sqref>
        </x14:dataValidation>
        <x14:dataValidation type="list" allowBlank="1" showInputMessage="1" showErrorMessage="1" errorTitle="Auswahl prüfen" error="Bitte einen Namen aus der Vorschlagsliste auswählen." xr:uid="{5F82EF2B-6A8A-4802-93A1-25E69CC193C2}">
          <x14:formula1>
            <xm:f>IF($Q30="Ja",Partnerlisten!$CW$5:$CW$34,Partnerlisten!$EZ$1)</xm:f>
          </x14:formula1>
          <xm:sqref>S30</xm:sqref>
        </x14:dataValidation>
        <x14:dataValidation type="list" allowBlank="1" showInputMessage="1" showErrorMessage="1" errorTitle="Auswahl prüfen" error="Bitte einen Namen aus der Vorschlagsliste auswählen." xr:uid="{0374F9A3-F5EB-4C1B-9CFD-034E98C83BBF}">
          <x14:formula1>
            <xm:f>IF($L31="Ja",Partnerlisten!$DA$5:$DA$34,Partnerlisten!$EZ$1)</xm:f>
          </x14:formula1>
          <xm:sqref>M31</xm:sqref>
        </x14:dataValidation>
        <x14:dataValidation type="list" allowBlank="1" showInputMessage="1" showErrorMessage="1" errorTitle="Auswahl prüfen" error="Bitte einen Namen aus der Vorschlagsliste auswählen." xr:uid="{942D7237-128C-475F-BEFD-AA88D08826AD}">
          <x14:formula1>
            <xm:f>IF($N31="Ja",Partnerlisten!$DB$5:$DB$34,Partnerlisten!$EZ$1)</xm:f>
          </x14:formula1>
          <xm:sqref>O31</xm:sqref>
        </x14:dataValidation>
        <x14:dataValidation type="list" allowBlank="1" showInputMessage="1" showErrorMessage="1" errorTitle="Auswahl prüfen" error="Bitte einen Namen aus der Vorschlagsliste auswählen." xr:uid="{F0D8A7DF-F758-491D-882A-777B2116D879}">
          <x14:formula1>
            <xm:f>IF($N31="Ja",Partnerlisten!$DC$5:$DC$34,Partnerlisten!$EZ$1)</xm:f>
          </x14:formula1>
          <xm:sqref>P31</xm:sqref>
        </x14:dataValidation>
        <x14:dataValidation type="list" allowBlank="1" showInputMessage="1" showErrorMessage="1" errorTitle="Auswahl prüfen" error="Bitte einen Namen aus der Vorschlagsliste auswählen." xr:uid="{66CCEE69-83C5-48F7-8C0E-B631A546CE71}">
          <x14:formula1>
            <xm:f>IF($Q31="Ja",Partnerlisten!$DD$5:$DD$34,Partnerlisten!$EZ$1)</xm:f>
          </x14:formula1>
          <xm:sqref>R31</xm:sqref>
        </x14:dataValidation>
        <x14:dataValidation type="list" allowBlank="1" showInputMessage="1" showErrorMessage="1" errorTitle="Auswahl prüfen" error="Bitte einen Namen aus der Vorschlagsliste auswählen." xr:uid="{9433D6B6-6DE9-43BF-A43C-C232ADAFC79A}">
          <x14:formula1>
            <xm:f>IF($Q31="Ja",Partnerlisten!$DE$5:$DE$34,Partnerlisten!$EZ$1)</xm:f>
          </x14:formula1>
          <xm:sqref>S31</xm:sqref>
        </x14:dataValidation>
        <x14:dataValidation type="list" allowBlank="1" showInputMessage="1" showErrorMessage="1" errorTitle="Auswahl prüfen" error="Bitte einen Namen aus der Vorschlagsliste auswählen." xr:uid="{299B3D2B-9DEF-4003-9C52-70644AC308A8}">
          <x14:formula1>
            <xm:f>IF($L32="Ja",Partnerlisten!$DI$5:$DI$34,Partnerlisten!$EZ$1)</xm:f>
          </x14:formula1>
          <xm:sqref>M32</xm:sqref>
        </x14:dataValidation>
        <x14:dataValidation type="list" allowBlank="1" showInputMessage="1" showErrorMessage="1" errorTitle="Auswahl prüfen" error="Bitte einen Namen aus der Vorschlagsliste auswählen." xr:uid="{ACC18E3D-A2F2-47EC-9461-9D25864726FA}">
          <x14:formula1>
            <xm:f>IF($N32="Ja",Partnerlisten!$DJ$5:$DJ$34,Partnerlisten!$EZ$1)</xm:f>
          </x14:formula1>
          <xm:sqref>O32</xm:sqref>
        </x14:dataValidation>
        <x14:dataValidation type="list" allowBlank="1" showInputMessage="1" showErrorMessage="1" errorTitle="Auswahl prüfen" error="Bitte einen Namen aus der Vorschlagsliste auswählen." xr:uid="{7390B093-1279-4144-A820-B46EC741D3D6}">
          <x14:formula1>
            <xm:f>IF($N32="Ja",Partnerlisten!$DK$5:$DK$34,Partnerlisten!$EZ$1)</xm:f>
          </x14:formula1>
          <xm:sqref>P32</xm:sqref>
        </x14:dataValidation>
        <x14:dataValidation type="list" allowBlank="1" showInputMessage="1" showErrorMessage="1" errorTitle="Auswahl prüfen" error="Bitte einen Namen aus der Vorschlagsliste auswählen." xr:uid="{35FB9B03-5550-488C-9EA9-FFC0E93A8156}">
          <x14:formula1>
            <xm:f>IF($Q32="Ja",Partnerlisten!$DL$5:$DL$34,Partnerlisten!$EZ$1)</xm:f>
          </x14:formula1>
          <xm:sqref>R32</xm:sqref>
        </x14:dataValidation>
        <x14:dataValidation type="list" allowBlank="1" showInputMessage="1" showErrorMessage="1" errorTitle="Auswahl prüfen" error="Bitte einen Namen aus der Vorschlagsliste auswählen." xr:uid="{629E9C71-6396-4A94-9B64-B27BED7F2CBC}">
          <x14:formula1>
            <xm:f>IF($Q32="Ja",Partnerlisten!$DM$5:$DM$34,Partnerlisten!$EZ$1)</xm:f>
          </x14:formula1>
          <xm:sqref>S32</xm:sqref>
        </x14:dataValidation>
        <x14:dataValidation type="list" allowBlank="1" showInputMessage="1" showErrorMessage="1" errorTitle="Auswahl prüfen" error="Bitte einen Namen aus der Vorschlagsliste auswählen." xr:uid="{C2A48D43-49A2-4D53-8CB7-2F62BF88FE36}">
          <x14:formula1>
            <xm:f>IF($L33="Ja",Partnerlisten!$DQ$5:$DQ$34,Partnerlisten!$EZ$1)</xm:f>
          </x14:formula1>
          <xm:sqref>M33</xm:sqref>
        </x14:dataValidation>
        <x14:dataValidation type="list" allowBlank="1" showInputMessage="1" showErrorMessage="1" errorTitle="Auswahl prüfen" error="Bitte einen Namen aus der Vorschlagsliste auswählen." xr:uid="{41766DB1-6E82-42D3-87BB-84AECAE79A53}">
          <x14:formula1>
            <xm:f>IF($N33="Ja",Partnerlisten!$DR$5:$DR$34,Partnerlisten!$EZ$1)</xm:f>
          </x14:formula1>
          <xm:sqref>O33</xm:sqref>
        </x14:dataValidation>
        <x14:dataValidation type="list" allowBlank="1" showInputMessage="1" showErrorMessage="1" errorTitle="Auswahl prüfen" error="Bitte einen Namen aus der Vorschlagsliste auswählen." xr:uid="{F2D745F2-BD1D-4F69-8D21-E1B676B7E773}">
          <x14:formula1>
            <xm:f>IF($N33="Ja",Partnerlisten!$DS$5:$DS$34,Partnerlisten!$EZ$1)</xm:f>
          </x14:formula1>
          <xm:sqref>P33</xm:sqref>
        </x14:dataValidation>
        <x14:dataValidation type="list" allowBlank="1" showInputMessage="1" showErrorMessage="1" errorTitle="Auswahl prüfen" error="Bitte einen Namen aus der Vorschlagsliste auswählen." xr:uid="{8975AF8D-F0C8-451B-B57B-4D83B31AD902}">
          <x14:formula1>
            <xm:f>IF($Q33="Ja",Partnerlisten!$DT$5:$DT$34,Partnerlisten!$EZ$1)</xm:f>
          </x14:formula1>
          <xm:sqref>R33</xm:sqref>
        </x14:dataValidation>
        <x14:dataValidation type="list" allowBlank="1" showInputMessage="1" showErrorMessage="1" errorTitle="Auswahl prüfen" error="Bitte einen Namen aus der Vorschlagsliste auswählen." xr:uid="{5D686F76-99B5-4112-83DF-C6982451BD8A}">
          <x14:formula1>
            <xm:f>IF($Q33="Ja",Partnerlisten!$DU$5:$DU$34,Partnerlisten!$EZ$1)</xm:f>
          </x14:formula1>
          <xm:sqref>S33</xm:sqref>
        </x14:dataValidation>
        <x14:dataValidation type="list" allowBlank="1" showInputMessage="1" showErrorMessage="1" errorTitle="Auswahl prüfen" error="Bitte einen Namen aus der Vorschlagsliste auswählen." xr:uid="{4B02E466-5642-4A53-A927-F1C4165EFB89}">
          <x14:formula1>
            <xm:f>IF($L34="Ja",Partnerlisten!$DY$5:$DY$34,Partnerlisten!$EZ$1)</xm:f>
          </x14:formula1>
          <xm:sqref>M34</xm:sqref>
        </x14:dataValidation>
        <x14:dataValidation type="list" allowBlank="1" showInputMessage="1" showErrorMessage="1" errorTitle="Auswahl prüfen" error="Bitte einen Namen aus der Vorschlagsliste auswählen." xr:uid="{9284E2A6-B723-49B9-88F7-97ABA0BE70A4}">
          <x14:formula1>
            <xm:f>IF($N34="Ja",Partnerlisten!$DZ$5:$DZ$34,Partnerlisten!$EZ$1)</xm:f>
          </x14:formula1>
          <xm:sqref>O34</xm:sqref>
        </x14:dataValidation>
        <x14:dataValidation type="list" allowBlank="1" showInputMessage="1" showErrorMessage="1" errorTitle="Auswahl prüfen" error="Bitte einen Namen aus der Vorschlagsliste auswählen." xr:uid="{33C4F572-F802-49B6-B72A-729D831DBF5B}">
          <x14:formula1>
            <xm:f>IF($N34="Ja",Partnerlisten!$EA$5:$EA$34,Partnerlisten!$EZ$1)</xm:f>
          </x14:formula1>
          <xm:sqref>P34</xm:sqref>
        </x14:dataValidation>
        <x14:dataValidation type="list" allowBlank="1" showInputMessage="1" showErrorMessage="1" errorTitle="Auswahl prüfen" error="Bitte einen Namen aus der Vorschlagsliste auswählen." xr:uid="{C9E2BE20-9055-4907-A3EB-E8F0E75C4BDF}">
          <x14:formula1>
            <xm:f>IF($Q34="Ja",Partnerlisten!$EB$5:$EB$34,Partnerlisten!$EZ$1)</xm:f>
          </x14:formula1>
          <xm:sqref>R34</xm:sqref>
        </x14:dataValidation>
        <x14:dataValidation type="list" allowBlank="1" showInputMessage="1" showErrorMessage="1" errorTitle="Auswahl prüfen" error="Bitte einen Namen aus der Vorschlagsliste auswählen." xr:uid="{8DF1F593-79E9-4FC8-A510-EA64689CFA8A}">
          <x14:formula1>
            <xm:f>IF($Q34="Ja",Partnerlisten!$EC$5:$EC$34,Partnerlisten!$EZ$1)</xm:f>
          </x14:formula1>
          <xm:sqref>S34</xm:sqref>
        </x14:dataValidation>
        <x14:dataValidation type="list" allowBlank="1" showInputMessage="1" showErrorMessage="1" errorTitle="Auswahl prüfen" error="Bitte einen Namen aus der Vorschlagsliste auswählen." xr:uid="{21DF0728-916E-4BCF-945A-70D263BA3AA7}">
          <x14:formula1>
            <xm:f>IF($L35="Ja",Partnerlisten!$EG$5:$EG$34,Partnerlisten!$EZ$1)</xm:f>
          </x14:formula1>
          <xm:sqref>M35</xm:sqref>
        </x14:dataValidation>
        <x14:dataValidation type="list" allowBlank="1" showInputMessage="1" showErrorMessage="1" errorTitle="Auswahl prüfen" error="Bitte einen Namen aus der Vorschlagsliste auswählen." xr:uid="{34716600-1627-4A23-9083-540F2AF23A9C}">
          <x14:formula1>
            <xm:f>IF($N35="Ja",Partnerlisten!$EH$5:$EH$34,Partnerlisten!$EZ$1)</xm:f>
          </x14:formula1>
          <xm:sqref>O35</xm:sqref>
        </x14:dataValidation>
        <x14:dataValidation type="list" allowBlank="1" showInputMessage="1" showErrorMessage="1" errorTitle="Auswahl prüfen" error="Bitte einen Namen aus der Vorschlagsliste auswählen." xr:uid="{9D533E21-FC39-4F68-A69D-1E638B7CBF25}">
          <x14:formula1>
            <xm:f>IF($N35="Ja",Partnerlisten!$EI$5:$EI$34,Partnerlisten!$EZ$1)</xm:f>
          </x14:formula1>
          <xm:sqref>P35</xm:sqref>
        </x14:dataValidation>
        <x14:dataValidation type="list" allowBlank="1" showInputMessage="1" showErrorMessage="1" errorTitle="Auswahl prüfen" error="Bitte einen Namen aus der Vorschlagsliste auswählen." xr:uid="{9566CF53-5261-4678-9374-6D6F7BB31B33}">
          <x14:formula1>
            <xm:f>IF($Q35="Ja",Partnerlisten!$EJ$5:$EJ$34,Partnerlisten!$EZ$1)</xm:f>
          </x14:formula1>
          <xm:sqref>R35</xm:sqref>
        </x14:dataValidation>
        <x14:dataValidation type="list" allowBlank="1" showInputMessage="1" showErrorMessage="1" errorTitle="Auswahl prüfen" error="Bitte einen Namen aus der Vorschlagsliste auswählen." xr:uid="{DD9CFCD1-204A-400F-A214-E54D8F3D3738}">
          <x14:formula1>
            <xm:f>IF($Q35="Ja",Partnerlisten!$EK$5:$EK$34,Partnerlisten!$EZ$1)</xm:f>
          </x14:formula1>
          <xm:sqref>S35</xm:sqref>
        </x14:dataValidation>
        <x14:dataValidation type="list" allowBlank="1" showInputMessage="1" showErrorMessage="1" errorTitle="Auswahl prüfen" error="Bitte einen Namen aus der Vorschlagsliste auswählen." xr:uid="{ED8C14A4-8961-42A5-991C-98AEF047A8CA}">
          <x14:formula1>
            <xm:f>IF($L36="Ja",Partnerlisten!$EO$5:$EO$34,Partnerlisten!$EZ$1)</xm:f>
          </x14:formula1>
          <xm:sqref>M36</xm:sqref>
        </x14:dataValidation>
        <x14:dataValidation type="list" allowBlank="1" showInputMessage="1" showErrorMessage="1" errorTitle="Auswahl prüfen" error="Bitte einen Namen aus der Vorschlagsliste auswählen." xr:uid="{1A1AF236-3ADF-48D4-A18F-CACB07F02B13}">
          <x14:formula1>
            <xm:f>IF($N36="Ja",Partnerlisten!$EP$5:$EP$34,Partnerlisten!$EZ$1)</xm:f>
          </x14:formula1>
          <xm:sqref>O36</xm:sqref>
        </x14:dataValidation>
        <x14:dataValidation type="list" allowBlank="1" showInputMessage="1" showErrorMessage="1" errorTitle="Auswahl prüfen" error="Bitte einen Namen aus der Vorschlagsliste auswählen." xr:uid="{18CE7F81-CE80-46EB-BE9D-2D7DE7F7814A}">
          <x14:formula1>
            <xm:f>IF($N36="Ja",Partnerlisten!$EQ$5:$EQ$34,Partnerlisten!$EZ$1)</xm:f>
          </x14:formula1>
          <xm:sqref>P36</xm:sqref>
        </x14:dataValidation>
        <x14:dataValidation type="list" allowBlank="1" showInputMessage="1" showErrorMessage="1" errorTitle="Auswahl prüfen" error="Bitte einen Namen aus der Vorschlagsliste auswählen." xr:uid="{1BE72539-1C5D-419E-B899-0AE6D70B2174}">
          <x14:formula1>
            <xm:f>IF($Q36="Ja",Partnerlisten!$ER$5:$ER$34,Partnerlisten!$EZ$1)</xm:f>
          </x14:formula1>
          <xm:sqref>R36</xm:sqref>
        </x14:dataValidation>
        <x14:dataValidation type="list" allowBlank="1" showInputMessage="1" showErrorMessage="1" errorTitle="Auswahl prüfen" error="Bitte einen Namen aus der Vorschlagsliste auswählen." xr:uid="{9FA9F5EA-95A4-4C88-BC60-EB8FBD50AF0E}">
          <x14:formula1>
            <xm:f>IF($Q36="Ja",Partnerlisten!$ES$5:$ES$34,Partnerlisten!$EZ$1)</xm:f>
          </x14:formula1>
          <xm:sqref>S36</xm:sqref>
        </x14:dataValidation>
        <x14:dataValidation type="list" allowBlank="1" showInputMessage="1" showErrorMessage="1" errorTitle="Auswahl prüfen" error="Bitte einen Namen aus der Vorschlagsliste auswählen." xr:uid="{5113DB38-AD1B-4CFB-A9EF-459FB1FCB54C}">
          <x14:formula1>
            <xm:f>IF($L37="Ja",Partnerlisten!$EW$5:$EW$34,Partnerlisten!$EZ$1)</xm:f>
          </x14:formula1>
          <xm:sqref>M37</xm:sqref>
        </x14:dataValidation>
        <x14:dataValidation type="list" allowBlank="1" showInputMessage="1" showErrorMessage="1" errorTitle="Auswahl prüfen" error="Bitte einen Namen aus der Vorschlagsliste auswählen." xr:uid="{505D62FD-79CE-428C-9017-76F45EE6568D}">
          <x14:formula1>
            <xm:f>IF($N37="Ja",Partnerlisten!$EX$5:$EX$34,Partnerlisten!$EZ$1)</xm:f>
          </x14:formula1>
          <xm:sqref>O37</xm:sqref>
        </x14:dataValidation>
        <x14:dataValidation type="list" allowBlank="1" showInputMessage="1" showErrorMessage="1" errorTitle="Auswahl prüfen" error="Bitte einen Namen aus der Vorschlagsliste auswählen." xr:uid="{172A30B8-9882-48B5-A089-6EAC3B6D9CD6}">
          <x14:formula1>
            <xm:f>IF($N37="Ja",Partnerlisten!$EY$5:$EY$34,Partnerlisten!$EZ$1)</xm:f>
          </x14:formula1>
          <xm:sqref>P37</xm:sqref>
        </x14:dataValidation>
        <x14:dataValidation type="list" allowBlank="1" showInputMessage="1" showErrorMessage="1" errorTitle="Auswahl prüfen" error="Bitte einen Namen aus der Vorschlagsliste auswählen." xr:uid="{4232712F-3552-420F-A48D-3C632B3B7736}">
          <x14:formula1>
            <xm:f>IF($Q37="Ja",Partnerlisten!$EZ$5:$EZ$34,Partnerlisten!$EZ$1)</xm:f>
          </x14:formula1>
          <xm:sqref>R37</xm:sqref>
        </x14:dataValidation>
        <x14:dataValidation type="list" allowBlank="1" showInputMessage="1" showErrorMessage="1" errorTitle="Auswahl prüfen" error="Bitte einen Namen aus der Vorschlagsliste auswählen." xr:uid="{83B227B7-969B-4569-9A77-384A7D0FA129}">
          <x14:formula1>
            <xm:f>IF($Q37="Ja",Partnerlisten!$FA$5:$FA$34,Partnerlisten!$EZ$1)</xm:f>
          </x14:formula1>
          <xm:sqref>S37</xm:sqref>
        </x14:dataValidation>
        <x14:dataValidation type="list" allowBlank="1" showInputMessage="1" showErrorMessage="1" errorTitle="Auswahl prüfen" error="Bitte einen Namen aus der Vorschlagsliste auswählen." xr:uid="{8EFD8ADA-3C6D-49E2-9A07-A864F2881393}">
          <x14:formula1>
            <xm:f>IF($L38="Ja",Partnerlisten!$FE$5:$FE$34,Partnerlisten!$EZ$1)</xm:f>
          </x14:formula1>
          <xm:sqref>M38</xm:sqref>
        </x14:dataValidation>
        <x14:dataValidation type="list" allowBlank="1" showInputMessage="1" showErrorMessage="1" errorTitle="Auswahl prüfen" error="Bitte einen Namen aus der Vorschlagsliste auswählen." xr:uid="{53EE43BC-002C-467A-BB7D-A762DDF94776}">
          <x14:formula1>
            <xm:f>IF($N38="Ja",Partnerlisten!$FF$5:$FF$34,Partnerlisten!$EZ$1)</xm:f>
          </x14:formula1>
          <xm:sqref>O38</xm:sqref>
        </x14:dataValidation>
        <x14:dataValidation type="list" allowBlank="1" showInputMessage="1" showErrorMessage="1" errorTitle="Auswahl prüfen" error="Bitte einen Namen aus der Vorschlagsliste auswählen." xr:uid="{CCBB816F-8DA2-44E8-B643-711652CB00B0}">
          <x14:formula1>
            <xm:f>IF($N38="Ja",Partnerlisten!$FG$5:$FG$34,Partnerlisten!$EZ$1)</xm:f>
          </x14:formula1>
          <xm:sqref>P38</xm:sqref>
        </x14:dataValidation>
        <x14:dataValidation type="list" allowBlank="1" showInputMessage="1" showErrorMessage="1" errorTitle="Auswahl prüfen" error="Bitte einen Namen aus der Vorschlagsliste auswählen." xr:uid="{3C58DAAB-D317-4099-A18D-C352914A25FC}">
          <x14:formula1>
            <xm:f>IF($Q38="Ja",Partnerlisten!$FH$5:$FH$34,Partnerlisten!$EZ$1)</xm:f>
          </x14:formula1>
          <xm:sqref>R38</xm:sqref>
        </x14:dataValidation>
        <x14:dataValidation type="list" allowBlank="1" showInputMessage="1" showErrorMessage="1" errorTitle="Auswahl prüfen" error="Bitte einen Namen aus der Vorschlagsliste auswählen." xr:uid="{EB01B4B5-410B-453D-B26D-EDFDCA025903}">
          <x14:formula1>
            <xm:f>IF($Q38="Ja",Partnerlisten!$FI$5:$FI$34,Partnerlisten!$EZ$1)</xm:f>
          </x14:formula1>
          <xm:sqref>S38</xm:sqref>
        </x14:dataValidation>
        <x14:dataValidation type="list" allowBlank="1" showInputMessage="1" showErrorMessage="1" errorTitle="Auswahl prüfen" error="Bitte einen Namen aus der Vorschlagsliste auswählen." xr:uid="{06796EDE-2DB0-420C-BEDC-5DC5B3C15C56}">
          <x14:formula1>
            <xm:f>IF($L39="Ja",Partnerlisten!$FM$5:$FM$34,Partnerlisten!$EZ$1)</xm:f>
          </x14:formula1>
          <xm:sqref>M39</xm:sqref>
        </x14:dataValidation>
        <x14:dataValidation type="list" allowBlank="1" showInputMessage="1" showErrorMessage="1" errorTitle="Auswahl prüfen" error="Bitte einen Namen aus der Vorschlagsliste auswählen." xr:uid="{2E1F3C2A-FFFD-41FC-B13A-A836653E4D1F}">
          <x14:formula1>
            <xm:f>IF($N39="Ja",Partnerlisten!$FN$5:$FN$34,Partnerlisten!$EZ$1)</xm:f>
          </x14:formula1>
          <xm:sqref>O39</xm:sqref>
        </x14:dataValidation>
        <x14:dataValidation type="list" allowBlank="1" showInputMessage="1" showErrorMessage="1" errorTitle="Auswahl prüfen" error="Bitte einen Namen aus der Vorschlagsliste auswählen." xr:uid="{D2AB7E87-467F-49CB-96F5-183E23F0FF70}">
          <x14:formula1>
            <xm:f>IF($N39="Ja",Partnerlisten!$FO$5:$FO$34,Partnerlisten!$EZ$1)</xm:f>
          </x14:formula1>
          <xm:sqref>P39</xm:sqref>
        </x14:dataValidation>
        <x14:dataValidation type="list" allowBlank="1" showInputMessage="1" showErrorMessage="1" errorTitle="Auswahl prüfen" error="Bitte einen Namen aus der Vorschlagsliste auswählen." xr:uid="{E61F3BB1-455A-4697-82D0-FADB2DBB6DED}">
          <x14:formula1>
            <xm:f>IF($Q39="Ja",Partnerlisten!$FP$5:$FP$34,Partnerlisten!$EZ$1)</xm:f>
          </x14:formula1>
          <xm:sqref>R39</xm:sqref>
        </x14:dataValidation>
        <x14:dataValidation type="list" allowBlank="1" showInputMessage="1" showErrorMessage="1" errorTitle="Auswahl prüfen" error="Bitte einen Namen aus der Vorschlagsliste auswählen." xr:uid="{74CEFA7B-B147-479E-A8EB-0F3DDC0D1C8E}">
          <x14:formula1>
            <xm:f>IF($Q39="Ja",Partnerlisten!$FQ$5:$FQ$34,Partnerlisten!$EZ$1)</xm:f>
          </x14:formula1>
          <xm:sqref>S39</xm:sqref>
        </x14:dataValidation>
        <x14:dataValidation type="list" allowBlank="1" showInputMessage="1" showErrorMessage="1" errorTitle="Auswahl prüfen" error="Bitte einen Namen aus der Vorschlagsliste auswählen." xr:uid="{DFDFFDB4-C4D8-477E-A0EC-2595036111C1}">
          <x14:formula1>
            <xm:f>IF($L40="Ja",Partnerlisten!$FU$5:$FU$34,Partnerlisten!$EZ$1)</xm:f>
          </x14:formula1>
          <xm:sqref>M40</xm:sqref>
        </x14:dataValidation>
        <x14:dataValidation type="list" allowBlank="1" showInputMessage="1" showErrorMessage="1" errorTitle="Auswahl prüfen" error="Bitte einen Namen aus der Vorschlagsliste auswählen." xr:uid="{DFB9F302-7190-433C-B484-4D32301A801C}">
          <x14:formula1>
            <xm:f>IF($N40="Ja",Partnerlisten!$FV$5:$FV$34,Partnerlisten!$EZ$1)</xm:f>
          </x14:formula1>
          <xm:sqref>O40</xm:sqref>
        </x14:dataValidation>
        <x14:dataValidation type="list" allowBlank="1" showInputMessage="1" showErrorMessage="1" errorTitle="Auswahl prüfen" error="Bitte einen Namen aus der Vorschlagsliste auswählen." xr:uid="{E3845301-0F0D-4550-94B8-1A32BAA1A5F2}">
          <x14:formula1>
            <xm:f>IF($N40="Ja",Partnerlisten!$FW$5:$FW$34,Partnerlisten!$EZ$1)</xm:f>
          </x14:formula1>
          <xm:sqref>P40</xm:sqref>
        </x14:dataValidation>
        <x14:dataValidation type="list" allowBlank="1" showInputMessage="1" showErrorMessage="1" errorTitle="Auswahl prüfen" error="Bitte einen Namen aus der Vorschlagsliste auswählen." xr:uid="{2C179071-C474-4B20-B54F-8B9BF5C42D3A}">
          <x14:formula1>
            <xm:f>IF($Q40="Ja",Partnerlisten!$FX$5:$FX$34,Partnerlisten!$EZ$1)</xm:f>
          </x14:formula1>
          <xm:sqref>R40</xm:sqref>
        </x14:dataValidation>
        <x14:dataValidation type="list" allowBlank="1" showInputMessage="1" showErrorMessage="1" errorTitle="Auswahl prüfen" error="Bitte einen Namen aus der Vorschlagsliste auswählen." xr:uid="{2E61F91C-8DC1-4068-8DD4-7AB48A152745}">
          <x14:formula1>
            <xm:f>IF($Q40="Ja",Partnerlisten!$FY$5:$FY$34,Partnerlisten!$EZ$1)</xm:f>
          </x14:formula1>
          <xm:sqref>S40</xm:sqref>
        </x14:dataValidation>
        <x14:dataValidation type="list" allowBlank="1" showInputMessage="1" showErrorMessage="1" errorTitle="Auswahl prüfen" error="Bitte einen Namen aus der Vorschlagsliste auswählen." xr:uid="{29D78F7E-2663-4787-919C-EF23F8D1C97A}">
          <x14:formula1>
            <xm:f>IF($L41="Ja",Partnerlisten!$GC$5:$GC$34,Partnerlisten!$EZ$1)</xm:f>
          </x14:formula1>
          <xm:sqref>M41</xm:sqref>
        </x14:dataValidation>
        <x14:dataValidation type="list" allowBlank="1" showInputMessage="1" showErrorMessage="1" errorTitle="Auswahl prüfen" error="Bitte einen Namen aus der Vorschlagsliste auswählen." xr:uid="{D8720B0E-9EE4-4EFB-939B-C48658625789}">
          <x14:formula1>
            <xm:f>IF($N41="Ja",Partnerlisten!$GD$5:$GD$34,Partnerlisten!$EZ$1)</xm:f>
          </x14:formula1>
          <xm:sqref>O41</xm:sqref>
        </x14:dataValidation>
        <x14:dataValidation type="list" allowBlank="1" showInputMessage="1" showErrorMessage="1" errorTitle="Auswahl prüfen" error="Bitte einen Namen aus der Vorschlagsliste auswählen." xr:uid="{3C9B56ED-1458-4D90-961C-5565CDD74475}">
          <x14:formula1>
            <xm:f>IF($N41="Ja",Partnerlisten!$GE$5:$GE$34,Partnerlisten!$EZ$1)</xm:f>
          </x14:formula1>
          <xm:sqref>P41</xm:sqref>
        </x14:dataValidation>
        <x14:dataValidation type="list" allowBlank="1" showInputMessage="1" showErrorMessage="1" errorTitle="Auswahl prüfen" error="Bitte einen Namen aus der Vorschlagsliste auswählen." xr:uid="{6E38A639-DF9F-4ED3-B775-D27E0C16BCF3}">
          <x14:formula1>
            <xm:f>IF($Q41="Ja",Partnerlisten!$GF$5:$GF$34,Partnerlisten!$EZ$1)</xm:f>
          </x14:formula1>
          <xm:sqref>R41</xm:sqref>
        </x14:dataValidation>
        <x14:dataValidation type="list" allowBlank="1" showInputMessage="1" showErrorMessage="1" errorTitle="Auswahl prüfen" error="Bitte einen Namen aus der Vorschlagsliste auswählen." xr:uid="{41A40D44-8C5B-42CC-A28F-D5338010116C}">
          <x14:formula1>
            <xm:f>IF($Q41="Ja",Partnerlisten!$GG$5:$GG$34,Partnerlisten!$EZ$1)</xm:f>
          </x14:formula1>
          <xm:sqref>S41</xm:sqref>
        </x14:dataValidation>
        <x14:dataValidation type="list" allowBlank="1" showInputMessage="1" showErrorMessage="1" errorTitle="Auswahl prüfen" error="Bitte einen Namen aus der Vorschlagsliste auswählen." xr:uid="{9F7827D2-F079-4298-A78B-A8D44863E7A9}">
          <x14:formula1>
            <xm:f>IF($L42="Ja",Partnerlisten!$GK$5:$GK$34,Partnerlisten!$EZ$1)</xm:f>
          </x14:formula1>
          <xm:sqref>M42</xm:sqref>
        </x14:dataValidation>
        <x14:dataValidation type="list" allowBlank="1" showInputMessage="1" showErrorMessage="1" errorTitle="Auswahl prüfen" error="Bitte einen Namen aus der Vorschlagsliste auswählen." xr:uid="{70E98833-570A-4D83-943F-FAEDF2ABD1DE}">
          <x14:formula1>
            <xm:f>IF($N42="Ja",Partnerlisten!$GL$5:$GL$34,Partnerlisten!$EZ$1)</xm:f>
          </x14:formula1>
          <xm:sqref>O42</xm:sqref>
        </x14:dataValidation>
        <x14:dataValidation type="list" allowBlank="1" showInputMessage="1" showErrorMessage="1" errorTitle="Auswahl prüfen" error="Bitte einen Namen aus der Vorschlagsliste auswählen." xr:uid="{DA82DCFB-F365-4FC5-93C0-E34624B1E882}">
          <x14:formula1>
            <xm:f>IF($N42="Ja",Partnerlisten!$GM$5:$GM$34,Partnerlisten!$EZ$1)</xm:f>
          </x14:formula1>
          <xm:sqref>P42</xm:sqref>
        </x14:dataValidation>
        <x14:dataValidation type="list" allowBlank="1" showInputMessage="1" showErrorMessage="1" errorTitle="Auswahl prüfen" error="Bitte einen Namen aus der Vorschlagsliste auswählen." xr:uid="{C8D78C94-7275-4A4E-9931-ABCA49951568}">
          <x14:formula1>
            <xm:f>IF($Q42="Ja",Partnerlisten!$GN$5:$GN$34,Partnerlisten!$EZ$1)</xm:f>
          </x14:formula1>
          <xm:sqref>R42</xm:sqref>
        </x14:dataValidation>
        <x14:dataValidation type="list" allowBlank="1" showInputMessage="1" showErrorMessage="1" errorTitle="Auswahl prüfen" error="Bitte einen Namen aus der Vorschlagsliste auswählen." xr:uid="{BB03E866-66FD-401F-973B-C39A6DCD6FBE}">
          <x14:formula1>
            <xm:f>IF($Q42="Ja",Partnerlisten!$GO$5:$GO$34,Partnerlisten!$EZ$1)</xm:f>
          </x14:formula1>
          <xm:sqref>S42</xm:sqref>
        </x14:dataValidation>
        <x14:dataValidation type="list" allowBlank="1" showInputMessage="1" showErrorMessage="1" errorTitle="Auswahl prüfen" error="Bitte einen Namen aus der Vorschlagsliste auswählen." xr:uid="{D244DD00-F19A-4B5D-A4DA-84A860F425E6}">
          <x14:formula1>
            <xm:f>IF($L43="Ja",Partnerlisten!$GS$5:$GS$34,Partnerlisten!$EZ$1)</xm:f>
          </x14:formula1>
          <xm:sqref>M43</xm:sqref>
        </x14:dataValidation>
        <x14:dataValidation type="list" allowBlank="1" showInputMessage="1" showErrorMessage="1" errorTitle="Auswahl prüfen" error="Bitte einen Namen aus der Vorschlagsliste auswählen." xr:uid="{9E02C9DB-AA4E-44BC-84EF-D5E79B5D1163}">
          <x14:formula1>
            <xm:f>IF($N43="Ja",Partnerlisten!$GT$5:$GT$34,Partnerlisten!$EZ$1)</xm:f>
          </x14:formula1>
          <xm:sqref>O43</xm:sqref>
        </x14:dataValidation>
        <x14:dataValidation type="list" allowBlank="1" showInputMessage="1" showErrorMessage="1" errorTitle="Auswahl prüfen" error="Bitte einen Namen aus der Vorschlagsliste auswählen." xr:uid="{6FFD35A7-44A8-493D-93B7-A1B014D43E30}">
          <x14:formula1>
            <xm:f>IF($N43="Ja",Partnerlisten!$GU$5:$GU$34,Partnerlisten!$EZ$1)</xm:f>
          </x14:formula1>
          <xm:sqref>P43</xm:sqref>
        </x14:dataValidation>
        <x14:dataValidation type="list" allowBlank="1" showInputMessage="1" showErrorMessage="1" errorTitle="Auswahl prüfen" error="Bitte einen Namen aus der Vorschlagsliste auswählen." xr:uid="{DC5563A9-4E4A-4B6C-83CF-0A7713110EA1}">
          <x14:formula1>
            <xm:f>IF($Q43="Ja",Partnerlisten!$GV$5:$GV$34,Partnerlisten!$EZ$1)</xm:f>
          </x14:formula1>
          <xm:sqref>R43</xm:sqref>
        </x14:dataValidation>
        <x14:dataValidation type="list" allowBlank="1" showInputMessage="1" showErrorMessage="1" errorTitle="Auswahl prüfen" error="Bitte einen Namen aus der Vorschlagsliste auswählen." xr:uid="{FE169995-F12C-42DA-949D-56856A5D064C}">
          <x14:formula1>
            <xm:f>IF($Q43="Ja",Partnerlisten!$GW$5:$GW$34,Partnerlisten!$EZ$1)</xm:f>
          </x14:formula1>
          <xm:sqref>S43</xm:sqref>
        </x14:dataValidation>
        <x14:dataValidation type="list" allowBlank="1" showInputMessage="1" showErrorMessage="1" errorTitle="Auswahl prüfen" error="Bitte einen Namen aus der Vorschlagsliste auswählen." xr:uid="{170A3A41-BC87-47D0-B303-F94B3956607B}">
          <x14:formula1>
            <xm:f>IF($L44="Ja",Partnerlisten!$HA$5:$HA$34,Partnerlisten!$EZ$1)</xm:f>
          </x14:formula1>
          <xm:sqref>M44</xm:sqref>
        </x14:dataValidation>
        <x14:dataValidation type="list" allowBlank="1" showInputMessage="1" showErrorMessage="1" errorTitle="Auswahl prüfen" error="Bitte einen Namen aus der Vorschlagsliste auswählen." xr:uid="{48D24D97-CD1A-41B2-A88F-83FC62D5CBA0}">
          <x14:formula1>
            <xm:f>IF($N44="Ja",Partnerlisten!$HB$5:$HB$34,Partnerlisten!$EZ$1)</xm:f>
          </x14:formula1>
          <xm:sqref>O44</xm:sqref>
        </x14:dataValidation>
        <x14:dataValidation type="list" allowBlank="1" showInputMessage="1" showErrorMessage="1" errorTitle="Auswahl prüfen" error="Bitte einen Namen aus der Vorschlagsliste auswählen." xr:uid="{3F0BE2B8-F197-4225-AC56-0D78D0D9996E}">
          <x14:formula1>
            <xm:f>IF($N44="Ja",Partnerlisten!$HC$5:$HC$34,Partnerlisten!$EZ$1)</xm:f>
          </x14:formula1>
          <xm:sqref>P44</xm:sqref>
        </x14:dataValidation>
        <x14:dataValidation type="list" allowBlank="1" showInputMessage="1" showErrorMessage="1" errorTitle="Auswahl prüfen" error="Bitte einen Namen aus der Vorschlagsliste auswählen." xr:uid="{14C8AA98-FD6E-4448-B68F-0CADBE6C886E}">
          <x14:formula1>
            <xm:f>IF($Q44="Ja",Partnerlisten!$HD$5:$HD$34,Partnerlisten!$EZ$1)</xm:f>
          </x14:formula1>
          <xm:sqref>R44</xm:sqref>
        </x14:dataValidation>
        <x14:dataValidation type="list" allowBlank="1" showInputMessage="1" showErrorMessage="1" errorTitle="Auswahl prüfen" error="Bitte einen Namen aus der Vorschlagsliste auswählen." xr:uid="{6D212C04-BC60-4C9A-A34F-21DBCB722BB8}">
          <x14:formula1>
            <xm:f>IF($Q44="Ja",Partnerlisten!$HE$5:$HE$34,Partnerlisten!$EZ$1)</xm:f>
          </x14:formula1>
          <xm:sqref>S44</xm:sqref>
        </x14:dataValidation>
        <x14:dataValidation type="list" allowBlank="1" showInputMessage="1" showErrorMessage="1" errorTitle="Auswahl prüfen" error="Bitte einen Namen aus der Vorschlagsliste auswählen." xr:uid="{8C13D15D-B9DA-4913-8802-0E08CC826835}">
          <x14:formula1>
            <xm:f>IF($L45="Ja",Partnerlisten!$HI$5:$HI$34,Partnerlisten!$EZ$1)</xm:f>
          </x14:formula1>
          <xm:sqref>M45</xm:sqref>
        </x14:dataValidation>
        <x14:dataValidation type="list" allowBlank="1" showInputMessage="1" showErrorMessage="1" errorTitle="Auswahl prüfen" error="Bitte einen Namen aus der Vorschlagsliste auswählen." xr:uid="{A3416752-D103-4AB6-B699-8D59F1991D02}">
          <x14:formula1>
            <xm:f>IF($N45="Ja",Partnerlisten!$HJ$5:$HJ$34,Partnerlisten!$EZ$1)</xm:f>
          </x14:formula1>
          <xm:sqref>O45</xm:sqref>
        </x14:dataValidation>
        <x14:dataValidation type="list" allowBlank="1" showInputMessage="1" showErrorMessage="1" errorTitle="Auswahl prüfen" error="Bitte einen Namen aus der Vorschlagsliste auswählen." xr:uid="{6567A075-2220-419E-9D7A-CF5F03EEF36E}">
          <x14:formula1>
            <xm:f>IF($N45="Ja",Partnerlisten!$HK$5:$HK$34,Partnerlisten!$EZ$1)</xm:f>
          </x14:formula1>
          <xm:sqref>P45</xm:sqref>
        </x14:dataValidation>
        <x14:dataValidation type="list" allowBlank="1" showInputMessage="1" showErrorMessage="1" errorTitle="Auswahl prüfen" error="Bitte einen Namen aus der Vorschlagsliste auswählen." xr:uid="{6B8727C0-AE20-45CD-B404-6CBCF6EB4E78}">
          <x14:formula1>
            <xm:f>IF($Q45="Ja",Partnerlisten!$HL$5:$HL$34,Partnerlisten!$EZ$1)</xm:f>
          </x14:formula1>
          <xm:sqref>R45</xm:sqref>
        </x14:dataValidation>
        <x14:dataValidation type="list" allowBlank="1" showInputMessage="1" showErrorMessage="1" errorTitle="Auswahl prüfen" error="Bitte einen Namen aus der Vorschlagsliste auswählen." xr:uid="{63456D32-945B-4C00-9AAB-CB2D68BF05DE}">
          <x14:formula1>
            <xm:f>IF($Q45="Ja",Partnerlisten!$HM$5:$HM$34,Partnerlisten!$EZ$1)</xm:f>
          </x14:formula1>
          <xm:sqref>S45</xm:sqref>
        </x14:dataValidation>
        <x14:dataValidation type="list" allowBlank="1" showInputMessage="1" showErrorMessage="1" errorTitle="Auswahl prüfen" error="Bitte einen Namen aus der Vorschlagsliste auswählen." xr:uid="{0F0A4D17-735D-4683-A4E9-97C78149AED0}">
          <x14:formula1>
            <xm:f>IF($L46="Ja",Partnerlisten!$HQ$5:$HQ$34,Partnerlisten!$EZ$1)</xm:f>
          </x14:formula1>
          <xm:sqref>M46</xm:sqref>
        </x14:dataValidation>
        <x14:dataValidation type="list" allowBlank="1" showInputMessage="1" showErrorMessage="1" errorTitle="Auswahl prüfen" error="Bitte einen Namen aus der Vorschlagsliste auswählen." xr:uid="{120DF2F9-32D1-4689-9E0F-005DC5B52E91}">
          <x14:formula1>
            <xm:f>IF($N46="Ja",Partnerlisten!$HR$5:$HR$34,Partnerlisten!$EZ$1)</xm:f>
          </x14:formula1>
          <xm:sqref>O46</xm:sqref>
        </x14:dataValidation>
        <x14:dataValidation type="list" allowBlank="1" showInputMessage="1" showErrorMessage="1" errorTitle="Auswahl prüfen" error="Bitte einen Namen aus der Vorschlagsliste auswählen." xr:uid="{43A7EE96-128B-4D22-90B4-514338CB5EED}">
          <x14:formula1>
            <xm:f>IF($N46="Ja",Partnerlisten!$HS$5:$HS$34,Partnerlisten!$EZ$1)</xm:f>
          </x14:formula1>
          <xm:sqref>P46</xm:sqref>
        </x14:dataValidation>
        <x14:dataValidation type="list" allowBlank="1" showInputMessage="1" showErrorMessage="1" errorTitle="Auswahl prüfen" error="Bitte einen Namen aus der Vorschlagsliste auswählen." xr:uid="{A89391E0-9359-4C24-98C4-ECD71DF7DCF1}">
          <x14:formula1>
            <xm:f>IF($Q46="Ja",Partnerlisten!$HT$5:$HT$34,Partnerlisten!$EZ$1)</xm:f>
          </x14:formula1>
          <xm:sqref>R46</xm:sqref>
        </x14:dataValidation>
        <x14:dataValidation type="list" allowBlank="1" showInputMessage="1" showErrorMessage="1" errorTitle="Auswahl prüfen" error="Bitte einen Namen aus der Vorschlagsliste auswählen." xr:uid="{24FC8A03-D4AF-4BCE-9FDB-16B99098D07A}">
          <x14:formula1>
            <xm:f>IF($Q46="Ja",Partnerlisten!$HU$5:$HU$34,Partnerlisten!$EZ$1)</xm:f>
          </x14:formula1>
          <xm:sqref>S46</xm:sqref>
        </x14:dataValidation>
        <x14:dataValidation type="list" allowBlank="1" showInputMessage="1" showErrorMessage="1" errorTitle="Auswahl prüfen" error="Bitte einen Namen aus der Vorschlagsliste auswählen." xr:uid="{EC1B94C8-CFF1-4D27-B2D8-343EFFA6BB20}">
          <x14:formula1>
            <xm:f>IF($L47="Ja",Partnerlisten!$HY$5:$HY$34,Partnerlisten!$EZ$1)</xm:f>
          </x14:formula1>
          <xm:sqref>M47</xm:sqref>
        </x14:dataValidation>
        <x14:dataValidation type="list" allowBlank="1" showInputMessage="1" showErrorMessage="1" errorTitle="Auswahl prüfen" error="Bitte einen Namen aus der Vorschlagsliste auswählen." xr:uid="{4A52E1BE-BB7E-4B7E-B397-9CD051C3FB82}">
          <x14:formula1>
            <xm:f>IF($N47="Ja",Partnerlisten!$HZ$5:$HZ$34,Partnerlisten!$EZ$1)</xm:f>
          </x14:formula1>
          <xm:sqref>O47</xm:sqref>
        </x14:dataValidation>
        <x14:dataValidation type="list" allowBlank="1" showInputMessage="1" showErrorMessage="1" errorTitle="Auswahl prüfen" error="Bitte einen Namen aus der Vorschlagsliste auswählen." xr:uid="{D1CE537C-6FCC-48EF-8575-1E7F4A8058AA}">
          <x14:formula1>
            <xm:f>IF($N47="Ja",Partnerlisten!$IA$5:$IA$34,Partnerlisten!$EZ$1)</xm:f>
          </x14:formula1>
          <xm:sqref>P47</xm:sqref>
        </x14:dataValidation>
        <x14:dataValidation type="list" allowBlank="1" showInputMessage="1" showErrorMessage="1" errorTitle="Auswahl prüfen" error="Bitte einen Namen aus der Vorschlagsliste auswählen." xr:uid="{F3F5BBE7-FD11-4F17-AD59-5F7081BE5EA1}">
          <x14:formula1>
            <xm:f>IF($Q47="Ja",Partnerlisten!$IB$5:$IB$34,Partnerlisten!$EZ$1)</xm:f>
          </x14:formula1>
          <xm:sqref>R47</xm:sqref>
        </x14:dataValidation>
        <x14:dataValidation type="list" allowBlank="1" showInputMessage="1" showErrorMessage="1" errorTitle="Auswahl prüfen" error="Bitte einen Namen aus der Vorschlagsliste auswählen." xr:uid="{49335917-7B28-4139-A92D-D6EE67C8CBF9}">
          <x14:formula1>
            <xm:f>IF($Q47="Ja",Partnerlisten!$IC$5:$IC$34,Partnerlisten!$EZ$1)</xm:f>
          </x14:formula1>
          <xm:sqref>S47</xm:sqref>
        </x14:dataValidation>
        <x14:dataValidation type="list" allowBlank="1" showInputMessage="1" showErrorMessage="1" errorTitle="Auswahl prüfen" error="Bitte einen Namen aus der Vorschlagsliste auswählen." xr:uid="{FFD35FED-1888-4E80-8ADD-072D463C6291}">
          <x14:formula1>
            <xm:f>IF($U18="Ja",Partnerlisten!$F$5:$F$34,Partnerlisten!$EZ$1)</xm:f>
          </x14:formula1>
          <xm:sqref>V18</xm:sqref>
        </x14:dataValidation>
        <x14:dataValidation type="list" allowBlank="1" showInputMessage="1" showErrorMessage="1" errorTitle="Auswahl prüfen" error="Bitte einen Namen aus der Vorschlagsliste auswählen." xr:uid="{FF30A659-2D4F-41D3-9CF2-2E99DDAB569B}">
          <x14:formula1>
            <xm:f>IF($U19="Ja",Partnerlisten!$N$5:$N$34,Partnerlisten!$EZ$1)</xm:f>
          </x14:formula1>
          <xm:sqref>V19</xm:sqref>
        </x14:dataValidation>
        <x14:dataValidation type="list" allowBlank="1" showInputMessage="1" showErrorMessage="1" errorTitle="Auswahl prüfen" error="Bitte einen Namen aus der Vorschlagsliste auswählen." xr:uid="{A97613E4-8060-4596-AC76-251EB905D807}">
          <x14:formula1>
            <xm:f>IF($U20="Ja",Partnerlisten!$V$5:$V$34,Partnerlisten!$EZ$1)</xm:f>
          </x14:formula1>
          <xm:sqref>V20</xm:sqref>
        </x14:dataValidation>
        <x14:dataValidation type="list" allowBlank="1" showInputMessage="1" showErrorMessage="1" errorTitle="Auswahl prüfen" error="Bitte einen Namen aus der Vorschlagsliste auswählen." xr:uid="{C372AF5F-B220-4414-BAA6-4F64A62C10FC}">
          <x14:formula1>
            <xm:f>IF($U21="Ja",Partnerlisten!$AD$5:$AD$34,Partnerlisten!$EZ$1)</xm:f>
          </x14:formula1>
          <xm:sqref>V21</xm:sqref>
        </x14:dataValidation>
        <x14:dataValidation type="list" allowBlank="1" showInputMessage="1" showErrorMessage="1" errorTitle="Auswahl prüfen" error="Bitte einen Namen aus der Vorschlagsliste auswählen." xr:uid="{DBE21FBA-1372-4832-AFE0-65AC06CC3770}">
          <x14:formula1>
            <xm:f>IF($U22="Ja",Partnerlisten!$AL$5:$AL$34,Partnerlisten!$EZ$1)</xm:f>
          </x14:formula1>
          <xm:sqref>V22</xm:sqref>
        </x14:dataValidation>
        <x14:dataValidation type="list" allowBlank="1" showInputMessage="1" showErrorMessage="1" errorTitle="Auswahl prüfen" error="Bitte einen Namen aus der Vorschlagsliste auswählen." xr:uid="{76872037-F97D-4BCA-A319-ECE4E83A4168}">
          <x14:formula1>
            <xm:f>IF($U23="Ja",Partnerlisten!$AT$5:$AT$34,Partnerlisten!$EZ$1)</xm:f>
          </x14:formula1>
          <xm:sqref>V23</xm:sqref>
        </x14:dataValidation>
        <x14:dataValidation type="list" allowBlank="1" showInputMessage="1" showErrorMessage="1" errorTitle="Auswahl prüfen" error="Bitte einen Namen aus der Vorschlagsliste auswählen." xr:uid="{DCC387EA-AD43-4941-A69F-23CB2BA55DAE}">
          <x14:formula1>
            <xm:f>IF($U24="Ja",Partnerlisten!$BB$5:$BB$34,Partnerlisten!$EZ$1)</xm:f>
          </x14:formula1>
          <xm:sqref>V24</xm:sqref>
        </x14:dataValidation>
        <x14:dataValidation type="list" allowBlank="1" showInputMessage="1" showErrorMessage="1" errorTitle="Auswahl prüfen" error="Bitte einen Namen aus der Vorschlagsliste auswählen." xr:uid="{6AC1E217-4850-4588-93BC-3744EDF84C0E}">
          <x14:formula1>
            <xm:f>IF($U25="Ja",Partnerlisten!$BJ$5:$BJ$34,Partnerlisten!$EZ$1)</xm:f>
          </x14:formula1>
          <xm:sqref>V25</xm:sqref>
        </x14:dataValidation>
        <x14:dataValidation type="list" allowBlank="1" showInputMessage="1" showErrorMessage="1" errorTitle="Auswahl prüfen" error="Bitte einen Namen aus der Vorschlagsliste auswählen." xr:uid="{E49DDA7F-7E07-484F-A09E-C54FEA4EB70D}">
          <x14:formula1>
            <xm:f>IF($U26="Ja",Partnerlisten!$BR$5:$BR$34,Partnerlisten!$EZ$1)</xm:f>
          </x14:formula1>
          <xm:sqref>V26</xm:sqref>
        </x14:dataValidation>
        <x14:dataValidation type="list" allowBlank="1" showInputMessage="1" showErrorMessage="1" errorTitle="Auswahl prüfen" error="Bitte einen Namen aus der Vorschlagsliste auswählen." xr:uid="{DF34FB60-8DF8-4B5F-A484-F4C3435C8706}">
          <x14:formula1>
            <xm:f>IF($U27="Ja",Partnerlisten!$BZ$5:$BZ$34,Partnerlisten!$EZ$1)</xm:f>
          </x14:formula1>
          <xm:sqref>V27</xm:sqref>
        </x14:dataValidation>
        <x14:dataValidation type="list" allowBlank="1" showInputMessage="1" showErrorMessage="1" errorTitle="Auswahl prüfen" error="Bitte einen Namen aus der Vorschlagsliste auswählen." xr:uid="{82122AC1-39FB-4798-AE9A-A446D0999104}">
          <x14:formula1>
            <xm:f>IF($U28="Ja",Partnerlisten!$CH$5:$CH$34,Partnerlisten!$EZ$1)</xm:f>
          </x14:formula1>
          <xm:sqref>V28</xm:sqref>
        </x14:dataValidation>
        <x14:dataValidation type="list" allowBlank="1" showInputMessage="1" showErrorMessage="1" errorTitle="Auswahl prüfen" error="Bitte einen Namen aus der Vorschlagsliste auswählen." xr:uid="{C089FB26-572D-4490-9D9E-2254B1C39A6F}">
          <x14:formula1>
            <xm:f>IF($U29="Ja",Partnerlisten!$CP$5:$CP$34,Partnerlisten!$EZ$1)</xm:f>
          </x14:formula1>
          <xm:sqref>V29</xm:sqref>
        </x14:dataValidation>
        <x14:dataValidation type="list" allowBlank="1" showInputMessage="1" showErrorMessage="1" errorTitle="Auswahl prüfen" error="Bitte einen Namen aus der Vorschlagsliste auswählen." xr:uid="{0F47EEDA-D313-48EB-ACCB-878A1071B81E}">
          <x14:formula1>
            <xm:f>IF($U30="Ja",Partnerlisten!$CX$5:$CX$34,Partnerlisten!$EZ$1)</xm:f>
          </x14:formula1>
          <xm:sqref>V30</xm:sqref>
        </x14:dataValidation>
        <x14:dataValidation type="list" allowBlank="1" showInputMessage="1" showErrorMessage="1" errorTitle="Auswahl prüfen" error="Bitte einen Namen aus der Vorschlagsliste auswählen." xr:uid="{EC9429EA-17D3-4D94-996A-E6E754695499}">
          <x14:formula1>
            <xm:f>IF($U31="Ja",Partnerlisten!$DF$5:$DF$34,Partnerlisten!$EZ$1)</xm:f>
          </x14:formula1>
          <xm:sqref>V31</xm:sqref>
        </x14:dataValidation>
        <x14:dataValidation type="list" allowBlank="1" showInputMessage="1" showErrorMessage="1" errorTitle="Auswahl prüfen" error="Bitte einen Namen aus der Vorschlagsliste auswählen." xr:uid="{30FF861A-9CB1-4C4F-84D2-73BC4874BC07}">
          <x14:formula1>
            <xm:f>IF($U32="Ja",Partnerlisten!$DN$5:$DN$34,Partnerlisten!$EZ$1)</xm:f>
          </x14:formula1>
          <xm:sqref>V32</xm:sqref>
        </x14:dataValidation>
        <x14:dataValidation type="list" allowBlank="1" showInputMessage="1" showErrorMessage="1" errorTitle="Auswahl prüfen" error="Bitte einen Namen aus der Vorschlagsliste auswählen." xr:uid="{D112DB78-F7EC-4A99-91FD-98E6BCC0347E}">
          <x14:formula1>
            <xm:f>IF($U33="Ja",Partnerlisten!$DV$5:$DV$34,Partnerlisten!$EZ$1)</xm:f>
          </x14:formula1>
          <xm:sqref>V33</xm:sqref>
        </x14:dataValidation>
        <x14:dataValidation type="list" allowBlank="1" showInputMessage="1" showErrorMessage="1" errorTitle="Auswahl prüfen" error="Bitte einen Namen aus der Vorschlagsliste auswählen." xr:uid="{0AE29D8C-4A74-4766-AE09-31CCC96FF9F8}">
          <x14:formula1>
            <xm:f>IF($U34="Ja",Partnerlisten!$ED$5:$ED$34,Partnerlisten!$EZ$1)</xm:f>
          </x14:formula1>
          <xm:sqref>V34</xm:sqref>
        </x14:dataValidation>
        <x14:dataValidation type="list" allowBlank="1" showInputMessage="1" showErrorMessage="1" errorTitle="Auswahl prüfen" error="Bitte einen Namen aus der Vorschlagsliste auswählen." xr:uid="{1A18C895-4447-4123-BD9F-9B4775709D53}">
          <x14:formula1>
            <xm:f>IF($U35="Ja",Partnerlisten!$EL$5:$EL$34,Partnerlisten!$EZ$1)</xm:f>
          </x14:formula1>
          <xm:sqref>V35</xm:sqref>
        </x14:dataValidation>
        <x14:dataValidation type="list" allowBlank="1" showInputMessage="1" showErrorMessage="1" errorTitle="Auswahl prüfen" error="Bitte einen Namen aus der Vorschlagsliste auswählen." xr:uid="{CD8477E4-B7CD-46D5-B21E-05076AF88429}">
          <x14:formula1>
            <xm:f>IF($U36="Ja",Partnerlisten!$ET$5:$ET$34,Partnerlisten!$EZ$1)</xm:f>
          </x14:formula1>
          <xm:sqref>V36</xm:sqref>
        </x14:dataValidation>
        <x14:dataValidation type="list" allowBlank="1" showInputMessage="1" showErrorMessage="1" errorTitle="Auswahl prüfen" error="Bitte einen Namen aus der Vorschlagsliste auswählen." xr:uid="{396A4059-401B-4953-A8C6-4612A5FBCCA1}">
          <x14:formula1>
            <xm:f>IF($U37="Ja",Partnerlisten!$FB$5:$FB$34,Partnerlisten!$EZ$1)</xm:f>
          </x14:formula1>
          <xm:sqref>V37</xm:sqref>
        </x14:dataValidation>
        <x14:dataValidation type="list" allowBlank="1" showInputMessage="1" showErrorMessage="1" errorTitle="Auswahl prüfen" error="Bitte einen Namen aus der Vorschlagsliste auswählen." xr:uid="{07F28221-B8F8-475A-817D-E1F495EA1D8E}">
          <x14:formula1>
            <xm:f>IF($U38="Ja",Partnerlisten!$FJ$5:$FJ$34,Partnerlisten!$EZ$1)</xm:f>
          </x14:formula1>
          <xm:sqref>V38</xm:sqref>
        </x14:dataValidation>
        <x14:dataValidation type="list" allowBlank="1" showInputMessage="1" showErrorMessage="1" errorTitle="Auswahl prüfen" error="Bitte einen Namen aus der Vorschlagsliste auswählen." xr:uid="{DCDB5FCB-1325-4436-9DE4-C89B38E6F417}">
          <x14:formula1>
            <xm:f>IF($U39="Ja",Partnerlisten!$FR$5:$FR$34,Partnerlisten!$EZ$1)</xm:f>
          </x14:formula1>
          <xm:sqref>V39</xm:sqref>
        </x14:dataValidation>
        <x14:dataValidation type="list" allowBlank="1" showInputMessage="1" showErrorMessage="1" errorTitle="Auswahl prüfen" error="Bitte einen Namen aus der Vorschlagsliste auswählen." xr:uid="{3D4866BE-ED16-4219-A99C-F786BA85CE12}">
          <x14:formula1>
            <xm:f>IF($U40="Ja",Partnerlisten!$FZ$5:$FZ$34,Partnerlisten!$EZ$1)</xm:f>
          </x14:formula1>
          <xm:sqref>V40</xm:sqref>
        </x14:dataValidation>
        <x14:dataValidation type="list" allowBlank="1" showInputMessage="1" showErrorMessage="1" errorTitle="Auswahl prüfen" error="Bitte einen Namen aus der Vorschlagsliste auswählen." xr:uid="{575C057C-B417-4E8A-A1B1-23E06CE7166B}">
          <x14:formula1>
            <xm:f>IF($U41="Ja",Partnerlisten!$GH$5:$GH$34,Partnerlisten!$EZ$1)</xm:f>
          </x14:formula1>
          <xm:sqref>V41</xm:sqref>
        </x14:dataValidation>
        <x14:dataValidation type="list" allowBlank="1" showInputMessage="1" showErrorMessage="1" errorTitle="Auswahl prüfen" error="Bitte einen Namen aus der Vorschlagsliste auswählen." xr:uid="{0DB576A0-8B0F-4864-B862-8ED229911F70}">
          <x14:formula1>
            <xm:f>IF($U42="Ja",Partnerlisten!$GP$5:$GP$34,Partnerlisten!$EZ$1)</xm:f>
          </x14:formula1>
          <xm:sqref>V42</xm:sqref>
        </x14:dataValidation>
        <x14:dataValidation type="list" allowBlank="1" showInputMessage="1" showErrorMessage="1" errorTitle="Auswahl prüfen" error="Bitte einen Namen aus der Vorschlagsliste auswählen." xr:uid="{38250FD9-9624-4037-9FD9-957E644B5F0A}">
          <x14:formula1>
            <xm:f>IF($U43="Ja",Partnerlisten!$GX$5:$GX$34,Partnerlisten!$EZ$1)</xm:f>
          </x14:formula1>
          <xm:sqref>V43</xm:sqref>
        </x14:dataValidation>
        <x14:dataValidation type="list" allowBlank="1" showInputMessage="1" showErrorMessage="1" errorTitle="Auswahl prüfen" error="Bitte einen Namen aus der Vorschlagsliste auswählen." xr:uid="{DDF2A46E-1B59-479A-85CB-1DF61B229F4B}">
          <x14:formula1>
            <xm:f>IF($U44="Ja",Partnerlisten!$HF$5:$HF$34,Partnerlisten!$EZ$1)</xm:f>
          </x14:formula1>
          <xm:sqref>V44</xm:sqref>
        </x14:dataValidation>
        <x14:dataValidation type="list" allowBlank="1" showInputMessage="1" showErrorMessage="1" errorTitle="Auswahl prüfen" error="Bitte einen Namen aus der Vorschlagsliste auswählen." xr:uid="{F57EC86F-D8C2-40F7-A747-14E6D9199C3D}">
          <x14:formula1>
            <xm:f>IF($U45="Ja",Partnerlisten!$HN$5:$HN$34,Partnerlisten!$EZ$1)</xm:f>
          </x14:formula1>
          <xm:sqref>V45</xm:sqref>
        </x14:dataValidation>
        <x14:dataValidation type="list" allowBlank="1" showInputMessage="1" showErrorMessage="1" errorTitle="Auswahl prüfen" error="Bitte einen Namen aus der Vorschlagsliste auswählen." xr:uid="{40CF9520-3103-4B8A-8AA5-15D0045E4EE9}">
          <x14:formula1>
            <xm:f>IF($U46="Ja",Partnerlisten!$HV$5:$HV$34,Partnerlisten!$EZ$1)</xm:f>
          </x14:formula1>
          <xm:sqref>V46</xm:sqref>
        </x14:dataValidation>
        <x14:dataValidation type="list" allowBlank="1" showInputMessage="1" showErrorMessage="1" errorTitle="Auswahl prüfen" error="Bitte einen Namen aus der Vorschlagsliste auswählen." xr:uid="{19D29272-AA47-47A3-99CD-FA4D630A1B0F}">
          <x14:formula1>
            <xm:f>IF($U47="Ja",Partnerlisten!$ID$5:$ID$34,Partnerlisten!$EZ$1)</xm:f>
          </x14:formula1>
          <xm:sqref>V47</xm:sqref>
        </x14:dataValidation>
        <x14:dataValidation type="list" allowBlank="1" showInputMessage="1" showErrorMessage="1" errorTitle="Bruchtest-Altersregel" error="Bruchtest ist erst ab 16 Jahren am Turniertag möglich. Unter 16 wird automatisch „Nein“ gesetzt." promptTitle="Bruchtest" prompt="Ab 16 Jahren: Ja oder Nein auswählen." xr:uid="{166053C5-02F9-4853-A66B-18A3701AAAC1}">
          <x14:formula1>
            <xm:f>IF($F18="",Partnerlisten!$EZ$1,IF($F18&lt;=DATE(2010,11,14),$Z$9:$AA$9,Partnerlisten!$EZ$1))</xm:f>
          </x14:formula1>
          <xm:sqref>W18:W47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"/>
  <sheetViews>
    <sheetView topLeftCell="O1" workbookViewId="0">
      <selection activeCell="Q21" sqref="Q21"/>
    </sheetView>
  </sheetViews>
  <sheetFormatPr baseColWidth="10" defaultColWidth="14.44140625" defaultRowHeight="15" customHeight="1" x14ac:dyDescent="0.3"/>
  <cols>
    <col min="1" max="1" width="28.33203125" customWidth="1"/>
    <col min="2" max="2" width="8.88671875" customWidth="1"/>
    <col min="3" max="3" width="8" customWidth="1"/>
    <col min="4" max="4" width="17.109375" customWidth="1"/>
    <col min="5" max="5" width="10.6640625" customWidth="1"/>
    <col min="6" max="6" width="16" customWidth="1"/>
    <col min="7" max="7" width="46.88671875" customWidth="1"/>
    <col min="8" max="8" width="10.6640625" customWidth="1"/>
    <col min="9" max="9" width="14.33203125" customWidth="1"/>
    <col min="10" max="10" width="10.6640625" customWidth="1"/>
    <col min="11" max="11" width="12.33203125" customWidth="1"/>
    <col min="12" max="12" width="10.6640625" customWidth="1"/>
    <col min="13" max="13" width="9.5546875" customWidth="1"/>
    <col min="14" max="14" width="10.6640625" customWidth="1"/>
    <col min="15" max="15" width="30.33203125" customWidth="1"/>
    <col min="16" max="16" width="64" customWidth="1"/>
    <col min="17" max="17" width="10.6640625" customWidth="1"/>
    <col min="18" max="18" width="13.5546875" customWidth="1"/>
    <col min="19" max="20" width="10.6640625" customWidth="1"/>
    <col min="21" max="21" width="23" customWidth="1"/>
    <col min="22" max="22" width="12.109375" customWidth="1"/>
    <col min="23" max="25" width="10.6640625" customWidth="1"/>
  </cols>
  <sheetData>
    <row r="1" spans="1:25" ht="14.25" customHeight="1" x14ac:dyDescent="0.3">
      <c r="A1" s="2" t="s">
        <v>31</v>
      </c>
      <c r="B1" s="2" t="s">
        <v>32</v>
      </c>
      <c r="C1" s="2" t="s">
        <v>33</v>
      </c>
      <c r="D1" s="2" t="s">
        <v>34</v>
      </c>
      <c r="F1" s="2" t="s">
        <v>35</v>
      </c>
      <c r="G1" s="2" t="s">
        <v>36</v>
      </c>
      <c r="I1" s="2" t="s">
        <v>37</v>
      </c>
      <c r="K1" s="2" t="s">
        <v>17</v>
      </c>
      <c r="M1" s="2" t="s">
        <v>38</v>
      </c>
      <c r="O1" s="2" t="s">
        <v>37</v>
      </c>
      <c r="P1" s="2" t="s">
        <v>39</v>
      </c>
      <c r="R1" s="2" t="s">
        <v>40</v>
      </c>
      <c r="T1" s="2" t="s">
        <v>37</v>
      </c>
      <c r="U1" s="2" t="s">
        <v>41</v>
      </c>
      <c r="V1" s="2" t="s">
        <v>42</v>
      </c>
      <c r="X1" t="s">
        <v>43</v>
      </c>
      <c r="Y1" t="s">
        <v>42</v>
      </c>
    </row>
    <row r="2" spans="1:25" ht="14.25" customHeight="1" x14ac:dyDescent="0.3">
      <c r="A2" s="3" t="s">
        <v>44</v>
      </c>
      <c r="B2" s="3">
        <v>2019</v>
      </c>
      <c r="C2" s="3">
        <v>9999</v>
      </c>
      <c r="D2" s="3"/>
      <c r="F2" s="3" t="s">
        <v>46</v>
      </c>
      <c r="G2" s="3" t="s">
        <v>47</v>
      </c>
      <c r="I2" s="3" t="s">
        <v>18</v>
      </c>
      <c r="K2" s="3" t="s">
        <v>48</v>
      </c>
      <c r="M2" s="3" t="s">
        <v>1</v>
      </c>
      <c r="O2" s="3" t="s">
        <v>49</v>
      </c>
      <c r="P2" s="3" t="s">
        <v>305</v>
      </c>
      <c r="R2" s="3" t="s">
        <v>50</v>
      </c>
      <c r="T2" s="3" t="s">
        <v>51</v>
      </c>
      <c r="U2" s="4" t="s">
        <v>283</v>
      </c>
      <c r="V2" s="4" t="s">
        <v>284</v>
      </c>
      <c r="X2" t="s">
        <v>52</v>
      </c>
      <c r="Y2" s="4" t="s">
        <v>296</v>
      </c>
    </row>
    <row r="3" spans="1:25" ht="14.25" customHeight="1" x14ac:dyDescent="0.3">
      <c r="A3" s="3" t="s">
        <v>272</v>
      </c>
      <c r="B3" s="3">
        <v>2015</v>
      </c>
      <c r="C3" s="3">
        <v>2018</v>
      </c>
      <c r="D3" s="3"/>
      <c r="F3" s="3" t="s">
        <v>53</v>
      </c>
      <c r="G3" s="3" t="s">
        <v>277</v>
      </c>
      <c r="I3" s="3" t="s">
        <v>19</v>
      </c>
      <c r="K3" s="3" t="s">
        <v>54</v>
      </c>
      <c r="M3" s="3" t="s">
        <v>2</v>
      </c>
      <c r="O3" s="3" t="s">
        <v>22</v>
      </c>
      <c r="P3" s="3" t="s">
        <v>280</v>
      </c>
      <c r="R3" s="3" t="s">
        <v>55</v>
      </c>
      <c r="T3" s="3" t="s">
        <v>21</v>
      </c>
      <c r="U3" s="4" t="s">
        <v>303</v>
      </c>
      <c r="V3" s="4" t="s">
        <v>304</v>
      </c>
      <c r="X3" t="s">
        <v>56</v>
      </c>
      <c r="Y3" s="4" t="s">
        <v>270</v>
      </c>
    </row>
    <row r="4" spans="1:25" ht="14.25" customHeight="1" x14ac:dyDescent="0.3">
      <c r="A4" s="3" t="s">
        <v>273</v>
      </c>
      <c r="B4" s="3">
        <v>2012</v>
      </c>
      <c r="C4" s="3">
        <v>2014</v>
      </c>
      <c r="D4" s="3"/>
      <c r="F4" s="3" t="s">
        <v>57</v>
      </c>
      <c r="G4" s="3" t="s">
        <v>278</v>
      </c>
      <c r="I4" s="3" t="s">
        <v>20</v>
      </c>
      <c r="K4" s="3" t="s">
        <v>58</v>
      </c>
      <c r="O4" s="3" t="s">
        <v>23</v>
      </c>
      <c r="P4" s="4" t="s">
        <v>281</v>
      </c>
      <c r="R4" s="3" t="s">
        <v>59</v>
      </c>
      <c r="T4" s="3" t="s">
        <v>22</v>
      </c>
      <c r="U4" s="4" t="s">
        <v>285</v>
      </c>
      <c r="V4" s="4" t="s">
        <v>286</v>
      </c>
    </row>
    <row r="5" spans="1:25" ht="14.25" customHeight="1" x14ac:dyDescent="0.3">
      <c r="A5" s="3" t="s">
        <v>274</v>
      </c>
      <c r="B5" s="3">
        <v>2009</v>
      </c>
      <c r="C5" s="3">
        <v>2011</v>
      </c>
      <c r="D5" s="3"/>
      <c r="F5" s="3" t="s">
        <v>60</v>
      </c>
      <c r="G5" s="3" t="s">
        <v>279</v>
      </c>
      <c r="I5" s="3" t="s">
        <v>21</v>
      </c>
      <c r="O5" s="3" t="s">
        <v>24</v>
      </c>
      <c r="P5" s="3" t="s">
        <v>282</v>
      </c>
      <c r="R5" s="3" t="s">
        <v>61</v>
      </c>
      <c r="T5" s="3" t="s">
        <v>23</v>
      </c>
      <c r="U5" s="4" t="s">
        <v>287</v>
      </c>
      <c r="V5" s="4" t="s">
        <v>288</v>
      </c>
    </row>
    <row r="6" spans="1:25" ht="14.25" customHeight="1" x14ac:dyDescent="0.3">
      <c r="A6" s="3" t="s">
        <v>275</v>
      </c>
      <c r="B6" s="3">
        <v>1986</v>
      </c>
      <c r="C6" s="3">
        <v>2008</v>
      </c>
      <c r="D6" s="3"/>
      <c r="I6" s="3" t="s">
        <v>22</v>
      </c>
      <c r="R6" s="3" t="s">
        <v>62</v>
      </c>
      <c r="T6" s="3" t="s">
        <v>24</v>
      </c>
      <c r="U6" s="4" t="s">
        <v>289</v>
      </c>
      <c r="V6" s="4" t="s">
        <v>290</v>
      </c>
    </row>
    <row r="7" spans="1:25" ht="14.25" customHeight="1" x14ac:dyDescent="0.3">
      <c r="A7" s="3" t="s">
        <v>276</v>
      </c>
      <c r="B7" s="3">
        <v>0</v>
      </c>
      <c r="C7" s="3">
        <v>1985</v>
      </c>
      <c r="D7" s="3"/>
      <c r="I7" s="3" t="s">
        <v>23</v>
      </c>
      <c r="R7" s="3" t="s">
        <v>63</v>
      </c>
      <c r="T7" s="3" t="s">
        <v>291</v>
      </c>
      <c r="U7" s="4" t="s">
        <v>292</v>
      </c>
      <c r="V7" s="4" t="s">
        <v>64</v>
      </c>
    </row>
    <row r="8" spans="1:25" ht="14.25" customHeight="1" x14ac:dyDescent="0.3">
      <c r="A8" s="3" t="s">
        <v>65</v>
      </c>
      <c r="B8" s="3">
        <v>1976</v>
      </c>
      <c r="C8" s="3">
        <v>1985</v>
      </c>
      <c r="D8" s="3" t="s">
        <v>45</v>
      </c>
      <c r="I8" s="3" t="s">
        <v>24</v>
      </c>
      <c r="R8" s="3" t="s">
        <v>66</v>
      </c>
      <c r="T8" s="3" t="s">
        <v>293</v>
      </c>
      <c r="U8" s="4" t="s">
        <v>294</v>
      </c>
      <c r="V8" s="4" t="s">
        <v>295</v>
      </c>
    </row>
    <row r="9" spans="1:25" ht="14.25" customHeight="1" x14ac:dyDescent="0.3">
      <c r="A9" s="3" t="s">
        <v>67</v>
      </c>
      <c r="B9" s="3">
        <v>0</v>
      </c>
      <c r="C9" s="3">
        <v>1975</v>
      </c>
      <c r="D9" s="3"/>
      <c r="R9" s="3" t="s">
        <v>68</v>
      </c>
    </row>
    <row r="10" spans="1:25" ht="14.25" customHeight="1" x14ac:dyDescent="0.3">
      <c r="R10" s="3" t="s">
        <v>69</v>
      </c>
    </row>
    <row r="11" spans="1:25" ht="14.25" customHeight="1" x14ac:dyDescent="0.3">
      <c r="R11" s="3" t="s">
        <v>70</v>
      </c>
    </row>
    <row r="12" spans="1:25" ht="14.25" customHeight="1" x14ac:dyDescent="0.3">
      <c r="R12" s="3" t="s">
        <v>71</v>
      </c>
    </row>
    <row r="13" spans="1:25" ht="14.25" customHeight="1" x14ac:dyDescent="0.3">
      <c r="R13" s="3" t="s">
        <v>72</v>
      </c>
    </row>
    <row r="14" spans="1:25" ht="14.25" customHeight="1" x14ac:dyDescent="0.3">
      <c r="R14" s="3" t="s">
        <v>73</v>
      </c>
    </row>
    <row r="15" spans="1:25" ht="14.25" customHeight="1" x14ac:dyDescent="0.3"/>
    <row r="16" spans="1:25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</sheetData>
  <sheetProtection algorithmName="SHA-512" hashValue="HvxI9CoIx0BDa5gunGYioAA66GAmP04fcMnjgx3fclF/BSrWb1uDgXdRgWi2/4PrGu5NcHFuHpMjvxyOL3pt9A==" saltValue="3FLW4DMN/yE3HD2LU+RijA==" spinCount="100000" sheet="1" objects="1" scenarios="1"/>
  <pageMargins left="0.7" right="0.7" top="0.78740157499999996" bottom="0.78740157499999996" header="0" footer="0"/>
  <pageSetup orientation="landscape"/>
  <headerFooter>
    <oddHeader>&amp;L000000 C2 – zur internen Verwendung#_x000D_</oddHeader>
  </headerFooter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D100"/>
  <sheetViews>
    <sheetView workbookViewId="0">
      <selection activeCell="D23" sqref="D23"/>
    </sheetView>
  </sheetViews>
  <sheetFormatPr baseColWidth="10" defaultColWidth="14.44140625" defaultRowHeight="15" customHeight="1" x14ac:dyDescent="0.3"/>
  <cols>
    <col min="1" max="1" width="31.88671875" customWidth="1"/>
    <col min="2" max="3" width="47.5546875" customWidth="1"/>
    <col min="4" max="5" width="49.33203125" customWidth="1"/>
    <col min="6" max="6" width="47.5546875" customWidth="1"/>
    <col min="7" max="7" width="12" customWidth="1"/>
    <col min="8" max="8" width="50" customWidth="1"/>
    <col min="9" max="9" width="7.6640625" customWidth="1"/>
    <col min="10" max="11" width="9.5546875" customWidth="1"/>
    <col min="12" max="13" width="50" customWidth="1"/>
    <col min="14" max="14" width="6" customWidth="1"/>
    <col min="15" max="15" width="10.6640625" customWidth="1"/>
    <col min="16" max="16" width="11.33203125" customWidth="1"/>
    <col min="17" max="17" width="7.6640625" customWidth="1"/>
    <col min="18" max="24" width="50" customWidth="1"/>
    <col min="25" max="25" width="7.6640625" customWidth="1"/>
    <col min="26" max="27" width="9.5546875" customWidth="1"/>
    <col min="28" max="29" width="50" customWidth="1"/>
    <col min="30" max="30" width="6" customWidth="1"/>
    <col min="31" max="31" width="11.33203125" customWidth="1"/>
    <col min="32" max="32" width="12.109375" customWidth="1"/>
    <col min="33" max="33" width="7.6640625" customWidth="1"/>
    <col min="34" max="38" width="50" customWidth="1"/>
    <col min="39" max="39" width="9.6640625" customWidth="1"/>
    <col min="40" max="40" width="10.6640625" customWidth="1"/>
    <col min="41" max="41" width="7.6640625" customWidth="1"/>
    <col min="42" max="43" width="9.5546875" customWidth="1"/>
    <col min="44" max="45" width="50" customWidth="1"/>
    <col min="46" max="46" width="6" customWidth="1"/>
    <col min="47" max="47" width="12.109375" customWidth="1"/>
    <col min="48" max="48" width="13.109375" customWidth="1"/>
    <col min="49" max="49" width="7.6640625" customWidth="1"/>
    <col min="50" max="51" width="9.5546875" customWidth="1"/>
    <col min="52" max="53" width="10.44140625" customWidth="1"/>
    <col min="54" max="54" width="6" customWidth="1"/>
    <col min="55" max="55" width="10.6640625" customWidth="1"/>
    <col min="56" max="56" width="11.33203125" customWidth="1"/>
    <col min="57" max="57" width="7.6640625" customWidth="1"/>
    <col min="58" max="59" width="9.5546875" customWidth="1"/>
    <col min="60" max="61" width="10.44140625" customWidth="1"/>
    <col min="62" max="62" width="6" customWidth="1"/>
    <col min="63" max="63" width="13.109375" customWidth="1"/>
    <col min="64" max="64" width="9.6640625" customWidth="1"/>
    <col min="65" max="65" width="7.6640625" customWidth="1"/>
    <col min="66" max="67" width="9.5546875" customWidth="1"/>
    <col min="68" max="69" width="10.44140625" customWidth="1"/>
    <col min="70" max="70" width="6" customWidth="1"/>
    <col min="71" max="71" width="11.33203125" customWidth="1"/>
    <col min="72" max="72" width="12.109375" customWidth="1"/>
    <col min="73" max="73" width="7.6640625" customWidth="1"/>
    <col min="74" max="75" width="9.5546875" customWidth="1"/>
    <col min="76" max="77" width="10.44140625" customWidth="1"/>
    <col min="78" max="78" width="6" customWidth="1"/>
    <col min="79" max="79" width="9.6640625" customWidth="1"/>
    <col min="80" max="80" width="10.6640625" customWidth="1"/>
    <col min="81" max="81" width="7.6640625" customWidth="1"/>
    <col min="82" max="83" width="9.5546875" customWidth="1"/>
    <col min="84" max="85" width="10.44140625" customWidth="1"/>
    <col min="86" max="86" width="6" customWidth="1"/>
    <col min="87" max="87" width="12.109375" customWidth="1"/>
    <col min="88" max="88" width="13.109375" customWidth="1"/>
    <col min="89" max="89" width="7.6640625" customWidth="1"/>
    <col min="90" max="91" width="9.5546875" customWidth="1"/>
    <col min="92" max="93" width="10.44140625" customWidth="1"/>
    <col min="94" max="94" width="6" customWidth="1"/>
    <col min="95" max="95" width="10.6640625" customWidth="1"/>
    <col min="96" max="96" width="11.33203125" customWidth="1"/>
    <col min="97" max="97" width="7.6640625" customWidth="1"/>
    <col min="98" max="99" width="9.5546875" customWidth="1"/>
    <col min="100" max="101" width="10.44140625" customWidth="1"/>
    <col min="102" max="102" width="6" customWidth="1"/>
    <col min="103" max="103" width="13.109375" customWidth="1"/>
    <col min="104" max="104" width="9.6640625" customWidth="1"/>
    <col min="105" max="105" width="7.6640625" customWidth="1"/>
    <col min="106" max="107" width="9.5546875" customWidth="1"/>
    <col min="108" max="109" width="10.44140625" customWidth="1"/>
    <col min="110" max="110" width="6" customWidth="1"/>
    <col min="111" max="111" width="11.33203125" customWidth="1"/>
    <col min="112" max="112" width="12.109375" customWidth="1"/>
    <col min="113" max="113" width="7.6640625" customWidth="1"/>
    <col min="114" max="115" width="9.5546875" customWidth="1"/>
    <col min="116" max="117" width="10.44140625" customWidth="1"/>
    <col min="118" max="118" width="6" customWidth="1"/>
    <col min="119" max="119" width="9.6640625" customWidth="1"/>
    <col min="120" max="120" width="10.6640625" customWidth="1"/>
    <col min="121" max="121" width="7.6640625" customWidth="1"/>
    <col min="122" max="123" width="9.5546875" customWidth="1"/>
    <col min="124" max="125" width="10.44140625" customWidth="1"/>
    <col min="126" max="126" width="6" customWidth="1"/>
    <col min="127" max="127" width="12.109375" customWidth="1"/>
    <col min="128" max="128" width="13.109375" customWidth="1"/>
    <col min="129" max="129" width="7.6640625" customWidth="1"/>
    <col min="130" max="131" width="9.5546875" customWidth="1"/>
    <col min="132" max="133" width="10.44140625" customWidth="1"/>
    <col min="134" max="134" width="6" customWidth="1"/>
    <col min="135" max="135" width="10.6640625" customWidth="1"/>
    <col min="136" max="136" width="11.33203125" customWidth="1"/>
    <col min="137" max="137" width="7.6640625" customWidth="1"/>
    <col min="138" max="139" width="9.5546875" customWidth="1"/>
    <col min="140" max="141" width="10.44140625" customWidth="1"/>
    <col min="142" max="142" width="6" customWidth="1"/>
    <col min="143" max="143" width="13.109375" customWidth="1"/>
    <col min="144" max="144" width="9.6640625" customWidth="1"/>
    <col min="145" max="145" width="7.6640625" customWidth="1"/>
    <col min="146" max="147" width="9.5546875" customWidth="1"/>
    <col min="148" max="149" width="10.44140625" customWidth="1"/>
    <col min="150" max="150" width="6" customWidth="1"/>
    <col min="151" max="152" width="10.6640625" customWidth="1"/>
    <col min="153" max="153" width="7.6640625" customWidth="1"/>
    <col min="154" max="155" width="9.5546875" customWidth="1"/>
    <col min="156" max="157" width="10.44140625" customWidth="1"/>
    <col min="158" max="158" width="6" customWidth="1"/>
    <col min="159" max="160" width="10.6640625" customWidth="1"/>
    <col min="161" max="161" width="7.6640625" customWidth="1"/>
    <col min="162" max="163" width="9.5546875" customWidth="1"/>
    <col min="164" max="165" width="10.44140625" customWidth="1"/>
    <col min="166" max="166" width="6" customWidth="1"/>
    <col min="167" max="168" width="10.6640625" customWidth="1"/>
    <col min="169" max="169" width="7.6640625" customWidth="1"/>
    <col min="170" max="171" width="9.5546875" customWidth="1"/>
    <col min="172" max="173" width="10.44140625" customWidth="1"/>
    <col min="174" max="174" width="6" customWidth="1"/>
    <col min="175" max="176" width="10.6640625" customWidth="1"/>
    <col min="177" max="177" width="7.6640625" customWidth="1"/>
    <col min="178" max="179" width="9.5546875" customWidth="1"/>
    <col min="180" max="181" width="10.44140625" customWidth="1"/>
    <col min="182" max="182" width="6" customWidth="1"/>
    <col min="183" max="184" width="10.6640625" customWidth="1"/>
    <col min="185" max="185" width="7.6640625" customWidth="1"/>
    <col min="186" max="187" width="9.5546875" customWidth="1"/>
    <col min="188" max="189" width="10.44140625" customWidth="1"/>
    <col min="190" max="190" width="6" customWidth="1"/>
    <col min="191" max="192" width="10.6640625" customWidth="1"/>
    <col min="193" max="193" width="7.6640625" customWidth="1"/>
    <col min="194" max="195" width="9.5546875" customWidth="1"/>
    <col min="196" max="197" width="10.44140625" customWidth="1"/>
    <col min="198" max="198" width="6" customWidth="1"/>
    <col min="199" max="200" width="10.6640625" customWidth="1"/>
    <col min="201" max="201" width="7.6640625" customWidth="1"/>
    <col min="202" max="203" width="9.5546875" customWidth="1"/>
    <col min="204" max="205" width="10.44140625" customWidth="1"/>
    <col min="206" max="206" width="6" customWidth="1"/>
    <col min="207" max="208" width="10.6640625" customWidth="1"/>
    <col min="209" max="209" width="7.6640625" customWidth="1"/>
    <col min="210" max="211" width="9.5546875" customWidth="1"/>
    <col min="212" max="213" width="10.44140625" customWidth="1"/>
    <col min="214" max="214" width="6" customWidth="1"/>
    <col min="215" max="216" width="10.6640625" customWidth="1"/>
    <col min="217" max="217" width="7.6640625" customWidth="1"/>
    <col min="218" max="219" width="9.5546875" customWidth="1"/>
    <col min="220" max="221" width="10.44140625" customWidth="1"/>
    <col min="222" max="222" width="6" customWidth="1"/>
    <col min="223" max="224" width="10.6640625" customWidth="1"/>
    <col min="225" max="225" width="7.6640625" customWidth="1"/>
    <col min="226" max="227" width="9.5546875" customWidth="1"/>
    <col min="228" max="229" width="10.44140625" customWidth="1"/>
    <col min="230" max="230" width="6" customWidth="1"/>
    <col min="231" max="232" width="10.6640625" customWidth="1"/>
    <col min="233" max="233" width="7.6640625" customWidth="1"/>
    <col min="234" max="235" width="9.5546875" customWidth="1"/>
    <col min="236" max="237" width="10.44140625" customWidth="1"/>
    <col min="238" max="238" width="6" customWidth="1"/>
  </cols>
  <sheetData>
    <row r="1" spans="1:238" ht="14.25" customHeight="1" x14ac:dyDescent="0.3">
      <c r="A1" s="5" t="s">
        <v>74</v>
      </c>
    </row>
    <row r="2" spans="1:238" ht="14.25" customHeight="1" x14ac:dyDescent="0.3">
      <c r="A2" s="4" t="s">
        <v>75</v>
      </c>
      <c r="B2" s="4" t="s">
        <v>76</v>
      </c>
      <c r="C2" s="4" t="s">
        <v>77</v>
      </c>
      <c r="D2" s="4" t="s">
        <v>78</v>
      </c>
      <c r="E2" s="4" t="s">
        <v>79</v>
      </c>
      <c r="F2" s="4" t="s">
        <v>80</v>
      </c>
      <c r="G2" s="4" t="s">
        <v>22</v>
      </c>
    </row>
    <row r="3" spans="1:238" ht="14.25" customHeight="1" x14ac:dyDescent="0.3">
      <c r="A3" s="4"/>
      <c r="B3" s="4" t="s">
        <v>297</v>
      </c>
      <c r="C3" s="4" t="s">
        <v>298</v>
      </c>
      <c r="D3" s="4" t="s">
        <v>299</v>
      </c>
      <c r="E3" s="4" t="s">
        <v>300</v>
      </c>
      <c r="F3" s="4" t="s">
        <v>301</v>
      </c>
      <c r="G3" s="4" t="s">
        <v>302</v>
      </c>
    </row>
    <row r="4" spans="1:238" ht="14.25" customHeight="1" x14ac:dyDescent="0.3">
      <c r="A4" t="s">
        <v>81</v>
      </c>
      <c r="B4" t="s">
        <v>82</v>
      </c>
      <c r="C4" t="s">
        <v>83</v>
      </c>
      <c r="D4" t="s">
        <v>84</v>
      </c>
      <c r="E4" t="s">
        <v>85</v>
      </c>
      <c r="F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Y4" t="s">
        <v>99</v>
      </c>
      <c r="Z4" t="s">
        <v>100</v>
      </c>
      <c r="AA4" t="s">
        <v>101</v>
      </c>
      <c r="AB4" t="s">
        <v>102</v>
      </c>
      <c r="AC4" t="s">
        <v>103</v>
      </c>
      <c r="AD4" t="s">
        <v>104</v>
      </c>
      <c r="AG4" t="s">
        <v>105</v>
      </c>
      <c r="AH4" t="s">
        <v>106</v>
      </c>
      <c r="AI4" t="s">
        <v>107</v>
      </c>
      <c r="AJ4" t="s">
        <v>108</v>
      </c>
      <c r="AK4" t="s">
        <v>109</v>
      </c>
      <c r="AL4" t="s">
        <v>110</v>
      </c>
      <c r="AO4" t="s">
        <v>111</v>
      </c>
      <c r="AP4" t="s">
        <v>112</v>
      </c>
      <c r="AQ4" t="s">
        <v>113</v>
      </c>
      <c r="AR4" t="s">
        <v>114</v>
      </c>
      <c r="AS4" t="s">
        <v>115</v>
      </c>
      <c r="AT4" t="s">
        <v>116</v>
      </c>
      <c r="AW4" t="s">
        <v>117</v>
      </c>
      <c r="AX4" t="s">
        <v>118</v>
      </c>
      <c r="AY4" t="s">
        <v>119</v>
      </c>
      <c r="AZ4" t="s">
        <v>120</v>
      </c>
      <c r="BA4" t="s">
        <v>121</v>
      </c>
      <c r="BB4" t="s">
        <v>122</v>
      </c>
      <c r="BE4" t="s">
        <v>123</v>
      </c>
      <c r="BF4" t="s">
        <v>124</v>
      </c>
      <c r="BG4" t="s">
        <v>125</v>
      </c>
      <c r="BH4" t="s">
        <v>126</v>
      </c>
      <c r="BI4" t="s">
        <v>127</v>
      </c>
      <c r="BJ4" t="s">
        <v>128</v>
      </c>
      <c r="BM4" t="s">
        <v>129</v>
      </c>
      <c r="BN4" t="s">
        <v>130</v>
      </c>
      <c r="BO4" t="s">
        <v>131</v>
      </c>
      <c r="BP4" t="s">
        <v>132</v>
      </c>
      <c r="BQ4" t="s">
        <v>133</v>
      </c>
      <c r="BR4" t="s">
        <v>134</v>
      </c>
      <c r="BU4" t="s">
        <v>135</v>
      </c>
      <c r="BV4" t="s">
        <v>136</v>
      </c>
      <c r="BW4" t="s">
        <v>137</v>
      </c>
      <c r="BX4" t="s">
        <v>138</v>
      </c>
      <c r="BY4" t="s">
        <v>139</v>
      </c>
      <c r="BZ4" t="s">
        <v>140</v>
      </c>
      <c r="CC4" t="s">
        <v>141</v>
      </c>
      <c r="CD4" t="s">
        <v>142</v>
      </c>
      <c r="CE4" t="s">
        <v>143</v>
      </c>
      <c r="CF4" t="s">
        <v>144</v>
      </c>
      <c r="CG4" t="s">
        <v>145</v>
      </c>
      <c r="CH4" t="s">
        <v>146</v>
      </c>
      <c r="CK4" t="s">
        <v>147</v>
      </c>
      <c r="CL4" t="s">
        <v>148</v>
      </c>
      <c r="CM4" t="s">
        <v>149</v>
      </c>
      <c r="CN4" t="s">
        <v>150</v>
      </c>
      <c r="CO4" t="s">
        <v>151</v>
      </c>
      <c r="CP4" t="s">
        <v>152</v>
      </c>
      <c r="CS4" t="s">
        <v>153</v>
      </c>
      <c r="CT4" t="s">
        <v>154</v>
      </c>
      <c r="CU4" t="s">
        <v>155</v>
      </c>
      <c r="CV4" t="s">
        <v>156</v>
      </c>
      <c r="CW4" t="s">
        <v>157</v>
      </c>
      <c r="CX4" t="s">
        <v>158</v>
      </c>
      <c r="DA4" t="s">
        <v>159</v>
      </c>
      <c r="DB4" t="s">
        <v>160</v>
      </c>
      <c r="DC4" t="s">
        <v>161</v>
      </c>
      <c r="DD4" t="s">
        <v>162</v>
      </c>
      <c r="DE4" t="s">
        <v>163</v>
      </c>
      <c r="DF4" t="s">
        <v>164</v>
      </c>
      <c r="DI4" t="s">
        <v>165</v>
      </c>
      <c r="DJ4" t="s">
        <v>166</v>
      </c>
      <c r="DK4" t="s">
        <v>167</v>
      </c>
      <c r="DL4" t="s">
        <v>168</v>
      </c>
      <c r="DM4" t="s">
        <v>169</v>
      </c>
      <c r="DN4" t="s">
        <v>170</v>
      </c>
      <c r="DQ4" t="s">
        <v>171</v>
      </c>
      <c r="DR4" t="s">
        <v>172</v>
      </c>
      <c r="DS4" t="s">
        <v>173</v>
      </c>
      <c r="DT4" t="s">
        <v>174</v>
      </c>
      <c r="DU4" t="s">
        <v>175</v>
      </c>
      <c r="DV4" t="s">
        <v>176</v>
      </c>
      <c r="DY4" t="s">
        <v>177</v>
      </c>
      <c r="DZ4" t="s">
        <v>178</v>
      </c>
      <c r="EA4" t="s">
        <v>179</v>
      </c>
      <c r="EB4" t="s">
        <v>180</v>
      </c>
      <c r="EC4" t="s">
        <v>181</v>
      </c>
      <c r="ED4" t="s">
        <v>182</v>
      </c>
      <c r="EG4" t="s">
        <v>183</v>
      </c>
      <c r="EH4" t="s">
        <v>184</v>
      </c>
      <c r="EI4" t="s">
        <v>185</v>
      </c>
      <c r="EJ4" t="s">
        <v>186</v>
      </c>
      <c r="EK4" t="s">
        <v>187</v>
      </c>
      <c r="EL4" t="s">
        <v>188</v>
      </c>
      <c r="EO4" t="s">
        <v>189</v>
      </c>
      <c r="EP4" t="s">
        <v>190</v>
      </c>
      <c r="EQ4" t="s">
        <v>191</v>
      </c>
      <c r="ER4" t="s">
        <v>192</v>
      </c>
      <c r="ES4" t="s">
        <v>193</v>
      </c>
      <c r="ET4" t="s">
        <v>194</v>
      </c>
      <c r="EW4" t="s">
        <v>195</v>
      </c>
      <c r="EX4" t="s">
        <v>196</v>
      </c>
      <c r="EY4" t="s">
        <v>197</v>
      </c>
      <c r="EZ4" t="s">
        <v>198</v>
      </c>
      <c r="FA4" t="s">
        <v>199</v>
      </c>
      <c r="FB4" t="s">
        <v>200</v>
      </c>
      <c r="FE4" t="s">
        <v>201</v>
      </c>
      <c r="FF4" t="s">
        <v>202</v>
      </c>
      <c r="FG4" t="s">
        <v>203</v>
      </c>
      <c r="FH4" t="s">
        <v>204</v>
      </c>
      <c r="FI4" t="s">
        <v>205</v>
      </c>
      <c r="FJ4" t="s">
        <v>206</v>
      </c>
      <c r="FM4" t="s">
        <v>207</v>
      </c>
      <c r="FN4" t="s">
        <v>208</v>
      </c>
      <c r="FO4" t="s">
        <v>209</v>
      </c>
      <c r="FP4" t="s">
        <v>210</v>
      </c>
      <c r="FQ4" t="s">
        <v>211</v>
      </c>
      <c r="FR4" t="s">
        <v>212</v>
      </c>
      <c r="FU4" t="s">
        <v>213</v>
      </c>
      <c r="FV4" t="s">
        <v>214</v>
      </c>
      <c r="FW4" t="s">
        <v>215</v>
      </c>
      <c r="FX4" t="s">
        <v>216</v>
      </c>
      <c r="FY4" t="s">
        <v>217</v>
      </c>
      <c r="FZ4" t="s">
        <v>218</v>
      </c>
      <c r="GC4" t="s">
        <v>219</v>
      </c>
      <c r="GD4" t="s">
        <v>220</v>
      </c>
      <c r="GE4" t="s">
        <v>221</v>
      </c>
      <c r="GF4" t="s">
        <v>222</v>
      </c>
      <c r="GG4" t="s">
        <v>223</v>
      </c>
      <c r="GH4" t="s">
        <v>224</v>
      </c>
      <c r="GK4" t="s">
        <v>225</v>
      </c>
      <c r="GL4" t="s">
        <v>226</v>
      </c>
      <c r="GM4" t="s">
        <v>227</v>
      </c>
      <c r="GN4" t="s">
        <v>228</v>
      </c>
      <c r="GO4" t="s">
        <v>229</v>
      </c>
      <c r="GP4" t="s">
        <v>230</v>
      </c>
      <c r="GS4" t="s">
        <v>231</v>
      </c>
      <c r="GT4" t="s">
        <v>232</v>
      </c>
      <c r="GU4" t="s">
        <v>233</v>
      </c>
      <c r="GV4" t="s">
        <v>234</v>
      </c>
      <c r="GW4" t="s">
        <v>235</v>
      </c>
      <c r="GX4" t="s">
        <v>236</v>
      </c>
      <c r="HA4" t="s">
        <v>237</v>
      </c>
      <c r="HB4" t="s">
        <v>238</v>
      </c>
      <c r="HC4" t="s">
        <v>239</v>
      </c>
      <c r="HD4" t="s">
        <v>240</v>
      </c>
      <c r="HE4" t="s">
        <v>241</v>
      </c>
      <c r="HF4" t="s">
        <v>242</v>
      </c>
      <c r="HI4" t="s">
        <v>243</v>
      </c>
      <c r="HJ4" t="s">
        <v>244</v>
      </c>
      <c r="HK4" t="s">
        <v>245</v>
      </c>
      <c r="HL4" t="s">
        <v>246</v>
      </c>
      <c r="HM4" t="s">
        <v>247</v>
      </c>
      <c r="HN4" t="s">
        <v>248</v>
      </c>
      <c r="HQ4" t="s">
        <v>249</v>
      </c>
      <c r="HR4" t="s">
        <v>250</v>
      </c>
      <c r="HS4" t="s">
        <v>251</v>
      </c>
      <c r="HT4" t="s">
        <v>252</v>
      </c>
      <c r="HU4" t="s">
        <v>253</v>
      </c>
      <c r="HV4" t="s">
        <v>254</v>
      </c>
      <c r="HY4" t="s">
        <v>255</v>
      </c>
      <c r="HZ4" t="s">
        <v>256</v>
      </c>
      <c r="IA4" t="s">
        <v>257</v>
      </c>
      <c r="IB4" t="s">
        <v>258</v>
      </c>
      <c r="IC4" t="s">
        <v>259</v>
      </c>
      <c r="ID4" t="s">
        <v>260</v>
      </c>
    </row>
    <row r="5" spans="1:238" ht="14.25" customHeight="1" x14ac:dyDescent="0.3">
      <c r="A5" t="str">
        <f>IF(AND(11&lt;&gt;11,Anmeldung!$D$18&lt;&gt;"",Anmeldung!$G$18=Anmeldung!$G$18,Anmeldung!$J$18=Anmeldung!$J$18),Anmeldung!$B$18&amp;": "&amp;Anmeldung!$D$18&amp;", "&amp;Anmeldung!$E$18&amp;" / "&amp;Anmeldung!$G$18&amp;" / "&amp;Anmeldung!$J$18,"")</f>
        <v/>
      </c>
      <c r="B5" t="str">
        <f>IF(AND(11&lt;&gt;11,Anmeldung!$D$18&lt;&gt;"",Anmeldung!$G$18=Anmeldung!$G$18,Anmeldung!$J$18=Anmeldung!$J$18,(Anmeldung!$B$18&amp;": "&amp;Anmeldung!$D$18&amp;", "&amp;Anmeldung!$E$18&amp;" / "&amp;Anmeldung!$G$18&amp;" / "&amp;Anmeldung!$J$18)&lt;&gt;Anmeldung!$P$18),Anmeldung!$B$18&amp;": "&amp;Anmeldung!$D$18&amp;", "&amp;Anmeldung!$E$18&amp;" / "&amp;Anmeldung!$G$18&amp;" / "&amp;Anmeldung!$J$18,"")</f>
        <v/>
      </c>
      <c r="C5" t="str">
        <f>IF(AND(11&lt;&gt;11,Anmeldung!$D$18&lt;&gt;"",Anmeldung!$G$18=Anmeldung!$G$18,Anmeldung!$J$18=Anmeldung!$J$18,(Anmeldung!$B$18&amp;": "&amp;Anmeldung!$D$18&amp;", "&amp;Anmeldung!$E$18&amp;" / "&amp;Anmeldung!$G$18&amp;" / "&amp;Anmeldung!$J$18)&lt;&gt;Anmeldung!$O$18),Anmeldung!$B$18&amp;": "&amp;Anmeldung!$D$18&amp;", "&amp;Anmeldung!$E$18&amp;" / "&amp;Anmeldung!$G$18&amp;" / "&amp;Anmeldung!$J$18,"")</f>
        <v/>
      </c>
      <c r="D5" t="str">
        <f>IF(AND(11&lt;&gt;11,Anmeldung!$D$18&lt;&gt;"",Anmeldung!$G$18&lt;&gt;Anmeldung!$G$18,(Anmeldung!$B$18&amp;": "&amp;Anmeldung!$D$18&amp;", "&amp;Anmeldung!$E$18&amp;" / "&amp;Anmeldung!$G$18&amp;" / "&amp;Anmeldung!$J$18)&lt;&gt;Anmeldung!$S$18),Anmeldung!$B$18&amp;": "&amp;Anmeldung!$D$18&amp;", "&amp;Anmeldung!$E$18&amp;" / "&amp;Anmeldung!$G$18&amp;" / "&amp;Anmeldung!$J$18,"")</f>
        <v/>
      </c>
      <c r="E5" t="str">
        <f>IF(AND(11&lt;&gt;11,Anmeldung!$D$18&lt;&gt;"",(Anmeldung!$B$18&amp;": "&amp;Anmeldung!$D$18&amp;", "&amp;Anmeldung!$E$18&amp;" / "&amp;Anmeldung!$G$18&amp;" / "&amp;Anmeldung!$J$18)&lt;&gt;Anmeldung!$R$18),Anmeldung!$B$18&amp;": "&amp;Anmeldung!$D$18&amp;", "&amp;Anmeldung!$E$18&amp;" / "&amp;Anmeldung!$G$18&amp;" / "&amp;Anmeldung!$J$18,"")</f>
        <v/>
      </c>
      <c r="F5" t="str">
        <f>IF(AND(10&lt;&gt;10,Anmeldung!$D$18&lt;&gt;"",Anmeldung!$U$18="Ja",Anmeldung!$G$18=Anmeldung!$G$18,Anmeldung!$J$18=Anmeldung!$J$18),Anmeldung!$B$18&amp;": "&amp;Anmeldung!$D$18&amp;", "&amp;Anmeldung!$E$18&amp;" / "&amp;Anmeldung!$G$18&amp;" / "&amp;Anmeldung!$J$18,"")</f>
        <v/>
      </c>
      <c r="I5" t="str">
        <f>IF(AND(11&lt;&gt;12,Anmeldung!$D$18&lt;&gt;"",Anmeldung!$G$18=Anmeldung!$G$19,Anmeldung!$J$18=Anmeldung!$J$19),Anmeldung!$B$18&amp;": "&amp;Anmeldung!$D$18&amp;", "&amp;Anmeldung!$E$18&amp;" / "&amp;Anmeldung!$G$18&amp;" / "&amp;Anmeldung!$J$18,"")</f>
        <v/>
      </c>
      <c r="J5" t="str">
        <f>IF(AND(11&lt;&gt;12,Anmeldung!$D$18&lt;&gt;"",Anmeldung!$G$18=Anmeldung!$G$19,Anmeldung!$J$18=Anmeldung!$J$19,(Anmeldung!$B$18&amp;": "&amp;Anmeldung!$D$18&amp;", "&amp;Anmeldung!$E$18&amp;" / "&amp;Anmeldung!$G$18&amp;" / "&amp;Anmeldung!$J$18)&lt;&gt;Anmeldung!$P$19),Anmeldung!$B$18&amp;": "&amp;Anmeldung!$D$18&amp;", "&amp;Anmeldung!$E$18&amp;" / "&amp;Anmeldung!$G$18&amp;" / "&amp;Anmeldung!$J$18,"")</f>
        <v/>
      </c>
      <c r="K5" t="str">
        <f>IF(AND(11&lt;&gt;12,Anmeldung!$D$18&lt;&gt;"",Anmeldung!$G$18=Anmeldung!$G$19,Anmeldung!$J$18=Anmeldung!$J$19,(Anmeldung!$B$18&amp;": "&amp;Anmeldung!$D$18&amp;", "&amp;Anmeldung!$E$18&amp;" / "&amp;Anmeldung!$G$18&amp;" / "&amp;Anmeldung!$J$18)&lt;&gt;Anmeldung!$O$19),Anmeldung!$B$18&amp;": "&amp;Anmeldung!$D$18&amp;", "&amp;Anmeldung!$E$18&amp;" / "&amp;Anmeldung!$G$18&amp;" / "&amp;Anmeldung!$J$18,"")</f>
        <v/>
      </c>
      <c r="L5" t="str">
        <f>IF(AND(11&lt;&gt;12,Anmeldung!$D$18&lt;&gt;"",Anmeldung!$G$18&lt;&gt;Anmeldung!$G$19,(Anmeldung!$B$18&amp;": "&amp;Anmeldung!$D$18&amp;", "&amp;Anmeldung!$E$18&amp;" / "&amp;Anmeldung!$G$18&amp;" / "&amp;Anmeldung!$J$18)&lt;&gt;Anmeldung!$S$19),Anmeldung!$B$18&amp;": "&amp;Anmeldung!$D$18&amp;", "&amp;Anmeldung!$E$18&amp;" / "&amp;Anmeldung!$G$18&amp;" / "&amp;Anmeldung!$J$18,"")</f>
        <v/>
      </c>
      <c r="M5" t="str">
        <f>IF(AND(11&lt;&gt;12,Anmeldung!$D$18&lt;&gt;"",(Anmeldung!$B$18&amp;": "&amp;Anmeldung!$D$18&amp;", "&amp;Anmeldung!$E$18&amp;" / "&amp;Anmeldung!$G$18&amp;" / "&amp;Anmeldung!$J$18)&lt;&gt;Anmeldung!$R$19),Anmeldung!$B$18&amp;": "&amp;Anmeldung!$D$18&amp;", "&amp;Anmeldung!$E$18&amp;" / "&amp;Anmeldung!$G$18&amp;" / "&amp;Anmeldung!$J$18,"")</f>
        <v/>
      </c>
      <c r="N5" t="str">
        <f>IF(AND(10&lt;&gt;11,Anmeldung!$D$18&lt;&gt;"",Anmeldung!$U$18="Ja",Anmeldung!$G$18=Anmeldung!$G$19,Anmeldung!$J$18=Anmeldung!$J$19),Anmeldung!$B$18&amp;": "&amp;Anmeldung!$D$18&amp;", "&amp;Anmeldung!$E$18&amp;" / "&amp;Anmeldung!$G$18&amp;" / "&amp;Anmeldung!$J$18,"")</f>
        <v/>
      </c>
      <c r="Q5" t="str">
        <f>IF(AND(11&lt;&gt;13,Anmeldung!$D$18&lt;&gt;"",Anmeldung!$G$18=Anmeldung!$G$20,Anmeldung!$J$18=Anmeldung!$J$20),Anmeldung!$B$18&amp;": "&amp;Anmeldung!$D$18&amp;", "&amp;Anmeldung!$E$18&amp;" / "&amp;Anmeldung!$G$18&amp;" / "&amp;Anmeldung!$J$18,"")</f>
        <v/>
      </c>
      <c r="R5" t="str">
        <f>IF(AND(11&lt;&gt;13,Anmeldung!$D$18&lt;&gt;"",Anmeldung!$G$18=Anmeldung!$G$20,Anmeldung!$J$18=Anmeldung!$J$20,(Anmeldung!$B$18&amp;": "&amp;Anmeldung!$D$18&amp;", "&amp;Anmeldung!$E$18&amp;" / "&amp;Anmeldung!$G$18&amp;" / "&amp;Anmeldung!$J$18)&lt;&gt;Anmeldung!$P$20),Anmeldung!$B$18&amp;": "&amp;Anmeldung!$D$18&amp;", "&amp;Anmeldung!$E$18&amp;" / "&amp;Anmeldung!$G$18&amp;" / "&amp;Anmeldung!$J$18,"")</f>
        <v/>
      </c>
      <c r="S5" t="str">
        <f>IF(AND(11&lt;&gt;13,Anmeldung!$D$18&lt;&gt;"",Anmeldung!$G$18=Anmeldung!$G$20,Anmeldung!$J$18=Anmeldung!$J$20,(Anmeldung!$B$18&amp;": "&amp;Anmeldung!$D$18&amp;", "&amp;Anmeldung!$E$18&amp;" / "&amp;Anmeldung!$G$18&amp;" / "&amp;Anmeldung!$J$18)&lt;&gt;Anmeldung!$O$20),Anmeldung!$B$18&amp;": "&amp;Anmeldung!$D$18&amp;", "&amp;Anmeldung!$E$18&amp;" / "&amp;Anmeldung!$G$18&amp;" / "&amp;Anmeldung!$J$18,"")</f>
        <v/>
      </c>
      <c r="T5" t="str">
        <f>IF(AND(11&lt;&gt;13,Anmeldung!$D$18&lt;&gt;"",Anmeldung!$G$18&lt;&gt;Anmeldung!$G$20,(Anmeldung!$B$18&amp;": "&amp;Anmeldung!$D$18&amp;", "&amp;Anmeldung!$E$18&amp;" / "&amp;Anmeldung!$G$18&amp;" / "&amp;Anmeldung!$J$18)&lt;&gt;Anmeldung!$S$20),Anmeldung!$B$18&amp;": "&amp;Anmeldung!$D$18&amp;", "&amp;Anmeldung!$E$18&amp;" / "&amp;Anmeldung!$G$18&amp;" / "&amp;Anmeldung!$J$18,"")</f>
        <v/>
      </c>
      <c r="U5" t="str">
        <f>IF(AND(11&lt;&gt;13,Anmeldung!$D$18&lt;&gt;"",(Anmeldung!$B$18&amp;": "&amp;Anmeldung!$D$18&amp;", "&amp;Anmeldung!$E$18&amp;" / "&amp;Anmeldung!$G$18&amp;" / "&amp;Anmeldung!$J$18)&lt;&gt;Anmeldung!$R$20),Anmeldung!$B$18&amp;": "&amp;Anmeldung!$D$18&amp;", "&amp;Anmeldung!$E$18&amp;" / "&amp;Anmeldung!$G$18&amp;" / "&amp;Anmeldung!$J$18,"")</f>
        <v/>
      </c>
      <c r="V5" t="str">
        <f>IF(AND(10&lt;&gt;12,Anmeldung!$D$18&lt;&gt;"",Anmeldung!$U$18="Ja",Anmeldung!$G$18=Anmeldung!$G$20,Anmeldung!$J$18=Anmeldung!$J$20),Anmeldung!$B$18&amp;": "&amp;Anmeldung!$D$18&amp;", "&amp;Anmeldung!$E$18&amp;" / "&amp;Anmeldung!$G$18&amp;" / "&amp;Anmeldung!$J$18,"")</f>
        <v/>
      </c>
      <c r="Y5" t="str">
        <f>IF(AND(11&lt;&gt;14,Anmeldung!$D$18&lt;&gt;"",Anmeldung!$G$18=Anmeldung!$G$21,Anmeldung!$J$18=Anmeldung!$J$21),Anmeldung!$B$18&amp;": "&amp;Anmeldung!$D$18&amp;", "&amp;Anmeldung!$E$18&amp;" / "&amp;Anmeldung!$G$18&amp;" / "&amp;Anmeldung!$J$18,"")</f>
        <v/>
      </c>
      <c r="Z5" t="str">
        <f>IF(AND(11&lt;&gt;14,Anmeldung!$D$18&lt;&gt;"",Anmeldung!$G$18=Anmeldung!$G$21,Anmeldung!$J$18=Anmeldung!$J$21,(Anmeldung!$B$18&amp;": "&amp;Anmeldung!$D$18&amp;", "&amp;Anmeldung!$E$18&amp;" / "&amp;Anmeldung!$G$18&amp;" / "&amp;Anmeldung!$J$18)&lt;&gt;Anmeldung!$P$21),Anmeldung!$B$18&amp;": "&amp;Anmeldung!$D$18&amp;", "&amp;Anmeldung!$E$18&amp;" / "&amp;Anmeldung!$G$18&amp;" / "&amp;Anmeldung!$J$18,"")</f>
        <v/>
      </c>
      <c r="AA5" t="str">
        <f>IF(AND(11&lt;&gt;14,Anmeldung!$D$18&lt;&gt;"",Anmeldung!$G$18=Anmeldung!$G$21,Anmeldung!$J$18=Anmeldung!$J$21,(Anmeldung!$B$18&amp;": "&amp;Anmeldung!$D$18&amp;", "&amp;Anmeldung!$E$18&amp;" / "&amp;Anmeldung!$G$18&amp;" / "&amp;Anmeldung!$J$18)&lt;&gt;Anmeldung!$O$21),Anmeldung!$B$18&amp;": "&amp;Anmeldung!$D$18&amp;", "&amp;Anmeldung!$E$18&amp;" / "&amp;Anmeldung!$G$18&amp;" / "&amp;Anmeldung!$J$18,"")</f>
        <v/>
      </c>
      <c r="AB5" t="str">
        <f>IF(AND(11&lt;&gt;14,Anmeldung!$D$18&lt;&gt;"",Anmeldung!$G$18&lt;&gt;Anmeldung!$G$21,(Anmeldung!$B$18&amp;": "&amp;Anmeldung!$D$18&amp;", "&amp;Anmeldung!$E$18&amp;" / "&amp;Anmeldung!$G$18&amp;" / "&amp;Anmeldung!$J$18)&lt;&gt;Anmeldung!$S$21),Anmeldung!$B$18&amp;": "&amp;Anmeldung!$D$18&amp;", "&amp;Anmeldung!$E$18&amp;" / "&amp;Anmeldung!$G$18&amp;" / "&amp;Anmeldung!$J$18,"")</f>
        <v/>
      </c>
      <c r="AC5" t="str">
        <f>IF(AND(11&lt;&gt;14,Anmeldung!$D$18&lt;&gt;"",(Anmeldung!$B$18&amp;": "&amp;Anmeldung!$D$18&amp;", "&amp;Anmeldung!$E$18&amp;" / "&amp;Anmeldung!$G$18&amp;" / "&amp;Anmeldung!$J$18)&lt;&gt;Anmeldung!$R$21),Anmeldung!$B$18&amp;": "&amp;Anmeldung!$D$18&amp;", "&amp;Anmeldung!$E$18&amp;" / "&amp;Anmeldung!$G$18&amp;" / "&amp;Anmeldung!$J$18,"")</f>
        <v/>
      </c>
      <c r="AD5" t="str">
        <f>IF(AND(10&lt;&gt;13,Anmeldung!$D$18&lt;&gt;"",Anmeldung!$U$18="Ja",Anmeldung!$G$18=Anmeldung!$G$21,Anmeldung!$J$18=Anmeldung!$J$21),Anmeldung!$B$18&amp;": "&amp;Anmeldung!$D$18&amp;", "&amp;Anmeldung!$E$18&amp;" / "&amp;Anmeldung!$G$18&amp;" / "&amp;Anmeldung!$J$18,"")</f>
        <v/>
      </c>
      <c r="AG5" t="str">
        <f>IF(AND(11&lt;&gt;15,Anmeldung!$D$18&lt;&gt;"",Anmeldung!$G$18=Anmeldung!$G$22,Anmeldung!$J$18=Anmeldung!$J$22),Anmeldung!$B$18&amp;": "&amp;Anmeldung!$D$18&amp;", "&amp;Anmeldung!$E$18&amp;" / "&amp;Anmeldung!$G$18&amp;" / "&amp;Anmeldung!$J$18,"")</f>
        <v/>
      </c>
      <c r="AH5" t="str">
        <f>IF(AND(11&lt;&gt;15,Anmeldung!$D$18&lt;&gt;"",Anmeldung!$G$18=Anmeldung!$G$22,Anmeldung!$J$18=Anmeldung!$J$22,(Anmeldung!$B$18&amp;": "&amp;Anmeldung!$D$18&amp;", "&amp;Anmeldung!$E$18&amp;" / "&amp;Anmeldung!$G$18&amp;" / "&amp;Anmeldung!$J$18)&lt;&gt;Anmeldung!$P$22),Anmeldung!$B$18&amp;": "&amp;Anmeldung!$D$18&amp;", "&amp;Anmeldung!$E$18&amp;" / "&amp;Anmeldung!$G$18&amp;" / "&amp;Anmeldung!$J$18,"")</f>
        <v/>
      </c>
      <c r="AI5" t="str">
        <f>IF(AND(11&lt;&gt;15,Anmeldung!$D$18&lt;&gt;"",Anmeldung!$G$18=Anmeldung!$G$22,Anmeldung!$J$18=Anmeldung!$J$22,(Anmeldung!$B$18&amp;": "&amp;Anmeldung!$D$18&amp;", "&amp;Anmeldung!$E$18&amp;" / "&amp;Anmeldung!$G$18&amp;" / "&amp;Anmeldung!$J$18)&lt;&gt;Anmeldung!$O$22),Anmeldung!$B$18&amp;": "&amp;Anmeldung!$D$18&amp;", "&amp;Anmeldung!$E$18&amp;" / "&amp;Anmeldung!$G$18&amp;" / "&amp;Anmeldung!$J$18,"")</f>
        <v/>
      </c>
      <c r="AJ5" t="str">
        <f>IF(AND(11&lt;&gt;15,Anmeldung!$D$18&lt;&gt;"",Anmeldung!$G$18&lt;&gt;Anmeldung!$G$22,(Anmeldung!$B$18&amp;": "&amp;Anmeldung!$D$18&amp;", "&amp;Anmeldung!$E$18&amp;" / "&amp;Anmeldung!$G$18&amp;" / "&amp;Anmeldung!$J$18)&lt;&gt;Anmeldung!$S$22),Anmeldung!$B$18&amp;": "&amp;Anmeldung!$D$18&amp;", "&amp;Anmeldung!$E$18&amp;" / "&amp;Anmeldung!$G$18&amp;" / "&amp;Anmeldung!$J$18,"")</f>
        <v/>
      </c>
      <c r="AK5" t="str">
        <f>IF(AND(11&lt;&gt;15,Anmeldung!$D$18&lt;&gt;"",(Anmeldung!$B$18&amp;": "&amp;Anmeldung!$D$18&amp;", "&amp;Anmeldung!$E$18&amp;" / "&amp;Anmeldung!$G$18&amp;" / "&amp;Anmeldung!$J$18)&lt;&gt;Anmeldung!$R$22),Anmeldung!$B$18&amp;": "&amp;Anmeldung!$D$18&amp;", "&amp;Anmeldung!$E$18&amp;" / "&amp;Anmeldung!$G$18&amp;" / "&amp;Anmeldung!$J$18,"")</f>
        <v/>
      </c>
      <c r="AL5" t="str">
        <f>IF(AND(10&lt;&gt;14,Anmeldung!$D$18&lt;&gt;"",Anmeldung!$U$18="Ja",Anmeldung!$G$18=Anmeldung!$G$22,Anmeldung!$J$18=Anmeldung!$J$22),Anmeldung!$B$18&amp;": "&amp;Anmeldung!$D$18&amp;", "&amp;Anmeldung!$E$18&amp;" / "&amp;Anmeldung!$G$18&amp;" / "&amp;Anmeldung!$J$18,"")</f>
        <v/>
      </c>
      <c r="AO5" t="str">
        <f>IF(AND(11&lt;&gt;16,Anmeldung!$D$18&lt;&gt;"",Anmeldung!$G$18=Anmeldung!$G$23,Anmeldung!$J$18=Anmeldung!$J$23),Anmeldung!$B$18&amp;": "&amp;Anmeldung!$D$18&amp;", "&amp;Anmeldung!$E$18&amp;" / "&amp;Anmeldung!$G$18&amp;" / "&amp;Anmeldung!$J$18,"")</f>
        <v/>
      </c>
      <c r="AP5" t="str">
        <f>IF(AND(11&lt;&gt;16,Anmeldung!$D$18&lt;&gt;"",Anmeldung!$G$18=Anmeldung!$G$23,Anmeldung!$J$18=Anmeldung!$J$23,(Anmeldung!$B$18&amp;": "&amp;Anmeldung!$D$18&amp;", "&amp;Anmeldung!$E$18&amp;" / "&amp;Anmeldung!$G$18&amp;" / "&amp;Anmeldung!$J$18)&lt;&gt;Anmeldung!$P$23),Anmeldung!$B$18&amp;": "&amp;Anmeldung!$D$18&amp;", "&amp;Anmeldung!$E$18&amp;" / "&amp;Anmeldung!$G$18&amp;" / "&amp;Anmeldung!$J$18,"")</f>
        <v/>
      </c>
      <c r="AQ5" t="str">
        <f>IF(AND(11&lt;&gt;16,Anmeldung!$D$18&lt;&gt;"",Anmeldung!$G$18=Anmeldung!$G$23,Anmeldung!$J$18=Anmeldung!$J$23,(Anmeldung!$B$18&amp;": "&amp;Anmeldung!$D$18&amp;", "&amp;Anmeldung!$E$18&amp;" / "&amp;Anmeldung!$G$18&amp;" / "&amp;Anmeldung!$J$18)&lt;&gt;Anmeldung!$O$23),Anmeldung!$B$18&amp;": "&amp;Anmeldung!$D$18&amp;", "&amp;Anmeldung!$E$18&amp;" / "&amp;Anmeldung!$G$18&amp;" / "&amp;Anmeldung!$J$18,"")</f>
        <v/>
      </c>
      <c r="AR5" t="str">
        <f>IF(AND(11&lt;&gt;16,Anmeldung!$D$18&lt;&gt;"",Anmeldung!$G$18&lt;&gt;Anmeldung!$G$23,(Anmeldung!$B$18&amp;": "&amp;Anmeldung!$D$18&amp;", "&amp;Anmeldung!$E$18&amp;" / "&amp;Anmeldung!$G$18&amp;" / "&amp;Anmeldung!$J$18)&lt;&gt;Anmeldung!$S$23),Anmeldung!$B$18&amp;": "&amp;Anmeldung!$D$18&amp;", "&amp;Anmeldung!$E$18&amp;" / "&amp;Anmeldung!$G$18&amp;" / "&amp;Anmeldung!$J$18,"")</f>
        <v/>
      </c>
      <c r="AS5" t="str">
        <f>IF(AND(11&lt;&gt;16,Anmeldung!$D$18&lt;&gt;"",(Anmeldung!$B$18&amp;": "&amp;Anmeldung!$D$18&amp;", "&amp;Anmeldung!$E$18&amp;" / "&amp;Anmeldung!$G$18&amp;" / "&amp;Anmeldung!$J$18)&lt;&gt;Anmeldung!$R$23),Anmeldung!$B$18&amp;": "&amp;Anmeldung!$D$18&amp;", "&amp;Anmeldung!$E$18&amp;" / "&amp;Anmeldung!$G$18&amp;" / "&amp;Anmeldung!$J$18,"")</f>
        <v/>
      </c>
      <c r="AT5" t="str">
        <f>IF(AND(10&lt;&gt;15,Anmeldung!$D$18&lt;&gt;"",Anmeldung!$U$18="Ja",Anmeldung!$G$18=Anmeldung!$G$23,Anmeldung!$J$18=Anmeldung!$J$23),Anmeldung!$B$18&amp;": "&amp;Anmeldung!$D$18&amp;", "&amp;Anmeldung!$E$18&amp;" / "&amp;Anmeldung!$G$18&amp;" / "&amp;Anmeldung!$J$18,"")</f>
        <v/>
      </c>
      <c r="AW5" t="str">
        <f>IF(AND(11&lt;&gt;17,Anmeldung!$D$18&lt;&gt;"",Anmeldung!$G$18=Anmeldung!$G$24,Anmeldung!$J$18=Anmeldung!$J$24),Anmeldung!$B$18&amp;": "&amp;Anmeldung!$D$18&amp;", "&amp;Anmeldung!$E$18&amp;" / "&amp;Anmeldung!$G$18&amp;" / "&amp;Anmeldung!$J$18,"")</f>
        <v/>
      </c>
      <c r="AX5" t="str">
        <f>IF(AND(11&lt;&gt;17,Anmeldung!$D$18&lt;&gt;"",Anmeldung!$G$18=Anmeldung!$G$24,Anmeldung!$J$18=Anmeldung!$J$24,(Anmeldung!$B$18&amp;": "&amp;Anmeldung!$D$18&amp;", "&amp;Anmeldung!$E$18&amp;" / "&amp;Anmeldung!$G$18&amp;" / "&amp;Anmeldung!$J$18)&lt;&gt;Anmeldung!$P$24),Anmeldung!$B$18&amp;": "&amp;Anmeldung!$D$18&amp;", "&amp;Anmeldung!$E$18&amp;" / "&amp;Anmeldung!$G$18&amp;" / "&amp;Anmeldung!$J$18,"")</f>
        <v/>
      </c>
      <c r="AY5" t="str">
        <f>IF(AND(11&lt;&gt;17,Anmeldung!$D$18&lt;&gt;"",Anmeldung!$G$18=Anmeldung!$G$24,Anmeldung!$J$18=Anmeldung!$J$24,(Anmeldung!$B$18&amp;": "&amp;Anmeldung!$D$18&amp;", "&amp;Anmeldung!$E$18&amp;" / "&amp;Anmeldung!$G$18&amp;" / "&amp;Anmeldung!$J$18)&lt;&gt;Anmeldung!$O$24),Anmeldung!$B$18&amp;": "&amp;Anmeldung!$D$18&amp;", "&amp;Anmeldung!$E$18&amp;" / "&amp;Anmeldung!$G$18&amp;" / "&amp;Anmeldung!$J$18,"")</f>
        <v/>
      </c>
      <c r="AZ5" t="str">
        <f>IF(AND(11&lt;&gt;17,Anmeldung!$D$18&lt;&gt;"",Anmeldung!$G$18&lt;&gt;Anmeldung!$G$24,(Anmeldung!$B$18&amp;": "&amp;Anmeldung!$D$18&amp;", "&amp;Anmeldung!$E$18&amp;" / "&amp;Anmeldung!$G$18&amp;" / "&amp;Anmeldung!$J$18)&lt;&gt;Anmeldung!$S$24),Anmeldung!$B$18&amp;": "&amp;Anmeldung!$D$18&amp;", "&amp;Anmeldung!$E$18&amp;" / "&amp;Anmeldung!$G$18&amp;" / "&amp;Anmeldung!$J$18,"")</f>
        <v/>
      </c>
      <c r="BA5" t="str">
        <f>IF(AND(11&lt;&gt;17,Anmeldung!$D$18&lt;&gt;"",(Anmeldung!$B$18&amp;": "&amp;Anmeldung!$D$18&amp;", "&amp;Anmeldung!$E$18&amp;" / "&amp;Anmeldung!$G$18&amp;" / "&amp;Anmeldung!$J$18)&lt;&gt;Anmeldung!$R$24),Anmeldung!$B$18&amp;": "&amp;Anmeldung!$D$18&amp;", "&amp;Anmeldung!$E$18&amp;" / "&amp;Anmeldung!$G$18&amp;" / "&amp;Anmeldung!$J$18,"")</f>
        <v/>
      </c>
      <c r="BB5" t="str">
        <f>IF(AND(10&lt;&gt;16,Anmeldung!$D$18&lt;&gt;"",Anmeldung!$U$18="Ja",Anmeldung!$G$18=Anmeldung!$G$24,Anmeldung!$J$18=Anmeldung!$J$24),Anmeldung!$B$18&amp;": "&amp;Anmeldung!$D$18&amp;", "&amp;Anmeldung!$E$18&amp;" / "&amp;Anmeldung!$G$18&amp;" / "&amp;Anmeldung!$J$18,"")</f>
        <v/>
      </c>
      <c r="BE5" t="str">
        <f>IF(AND(11&lt;&gt;18,Anmeldung!$D$18&lt;&gt;"",Anmeldung!$G$18=Anmeldung!$G$25,Anmeldung!$J$18=Anmeldung!$J$25),Anmeldung!$B$18&amp;": "&amp;Anmeldung!$D$18&amp;", "&amp;Anmeldung!$E$18&amp;" / "&amp;Anmeldung!$G$18&amp;" / "&amp;Anmeldung!$J$18,"")</f>
        <v/>
      </c>
      <c r="BF5" t="str">
        <f>IF(AND(11&lt;&gt;18,Anmeldung!$D$18&lt;&gt;"",Anmeldung!$G$18=Anmeldung!$G$25,Anmeldung!$J$18=Anmeldung!$J$25,(Anmeldung!$B$18&amp;": "&amp;Anmeldung!$D$18&amp;", "&amp;Anmeldung!$E$18&amp;" / "&amp;Anmeldung!$G$18&amp;" / "&amp;Anmeldung!$J$18)&lt;&gt;Anmeldung!$P$25),Anmeldung!$B$18&amp;": "&amp;Anmeldung!$D$18&amp;", "&amp;Anmeldung!$E$18&amp;" / "&amp;Anmeldung!$G$18&amp;" / "&amp;Anmeldung!$J$18,"")</f>
        <v/>
      </c>
      <c r="BG5" t="str">
        <f>IF(AND(11&lt;&gt;18,Anmeldung!$D$18&lt;&gt;"",Anmeldung!$G$18=Anmeldung!$G$25,Anmeldung!$J$18=Anmeldung!$J$25,(Anmeldung!$B$18&amp;": "&amp;Anmeldung!$D$18&amp;", "&amp;Anmeldung!$E$18&amp;" / "&amp;Anmeldung!$G$18&amp;" / "&amp;Anmeldung!$J$18)&lt;&gt;Anmeldung!$O$25),Anmeldung!$B$18&amp;": "&amp;Anmeldung!$D$18&amp;", "&amp;Anmeldung!$E$18&amp;" / "&amp;Anmeldung!$G$18&amp;" / "&amp;Anmeldung!$J$18,"")</f>
        <v/>
      </c>
      <c r="BH5" t="str">
        <f>IF(AND(11&lt;&gt;18,Anmeldung!$D$18&lt;&gt;"",Anmeldung!$G$18&lt;&gt;Anmeldung!$G$25,(Anmeldung!$B$18&amp;": "&amp;Anmeldung!$D$18&amp;", "&amp;Anmeldung!$E$18&amp;" / "&amp;Anmeldung!$G$18&amp;" / "&amp;Anmeldung!$J$18)&lt;&gt;Anmeldung!$S$25),Anmeldung!$B$18&amp;": "&amp;Anmeldung!$D$18&amp;", "&amp;Anmeldung!$E$18&amp;" / "&amp;Anmeldung!$G$18&amp;" / "&amp;Anmeldung!$J$18,"")</f>
        <v/>
      </c>
      <c r="BI5" t="str">
        <f>IF(AND(11&lt;&gt;18,Anmeldung!$D$18&lt;&gt;"",(Anmeldung!$B$18&amp;": "&amp;Anmeldung!$D$18&amp;", "&amp;Anmeldung!$E$18&amp;" / "&amp;Anmeldung!$G$18&amp;" / "&amp;Anmeldung!$J$18)&lt;&gt;Anmeldung!$R$25),Anmeldung!$B$18&amp;": "&amp;Anmeldung!$D$18&amp;", "&amp;Anmeldung!$E$18&amp;" / "&amp;Anmeldung!$G$18&amp;" / "&amp;Anmeldung!$J$18,"")</f>
        <v/>
      </c>
      <c r="BJ5" t="str">
        <f>IF(AND(10&lt;&gt;17,Anmeldung!$D$18&lt;&gt;"",Anmeldung!$U$18="Ja",Anmeldung!$G$18=Anmeldung!$G$25,Anmeldung!$J$18=Anmeldung!$J$25),Anmeldung!$B$18&amp;": "&amp;Anmeldung!$D$18&amp;", "&amp;Anmeldung!$E$18&amp;" / "&amp;Anmeldung!$G$18&amp;" / "&amp;Anmeldung!$J$18,"")</f>
        <v/>
      </c>
      <c r="BM5" t="str">
        <f>IF(AND(11&lt;&gt;19,Anmeldung!$D$18&lt;&gt;"",Anmeldung!$G$18=Anmeldung!$G$26,Anmeldung!$J$18=Anmeldung!$J$26),Anmeldung!$B$18&amp;": "&amp;Anmeldung!$D$18&amp;", "&amp;Anmeldung!$E$18&amp;" / "&amp;Anmeldung!$G$18&amp;" / "&amp;Anmeldung!$J$18,"")</f>
        <v/>
      </c>
      <c r="BN5" t="str">
        <f>IF(AND(11&lt;&gt;19,Anmeldung!$D$18&lt;&gt;"",Anmeldung!$G$18=Anmeldung!$G$26,Anmeldung!$J$18=Anmeldung!$J$26,(Anmeldung!$B$18&amp;": "&amp;Anmeldung!$D$18&amp;", "&amp;Anmeldung!$E$18&amp;" / "&amp;Anmeldung!$G$18&amp;" / "&amp;Anmeldung!$J$18)&lt;&gt;Anmeldung!$P$26),Anmeldung!$B$18&amp;": "&amp;Anmeldung!$D$18&amp;", "&amp;Anmeldung!$E$18&amp;" / "&amp;Anmeldung!$G$18&amp;" / "&amp;Anmeldung!$J$18,"")</f>
        <v/>
      </c>
      <c r="BO5" t="str">
        <f>IF(AND(11&lt;&gt;19,Anmeldung!$D$18&lt;&gt;"",Anmeldung!$G$18=Anmeldung!$G$26,Anmeldung!$J$18=Anmeldung!$J$26,(Anmeldung!$B$18&amp;": "&amp;Anmeldung!$D$18&amp;", "&amp;Anmeldung!$E$18&amp;" / "&amp;Anmeldung!$G$18&amp;" / "&amp;Anmeldung!$J$18)&lt;&gt;Anmeldung!$O$26),Anmeldung!$B$18&amp;": "&amp;Anmeldung!$D$18&amp;", "&amp;Anmeldung!$E$18&amp;" / "&amp;Anmeldung!$G$18&amp;" / "&amp;Anmeldung!$J$18,"")</f>
        <v/>
      </c>
      <c r="BP5" t="str">
        <f>IF(AND(11&lt;&gt;19,Anmeldung!$D$18&lt;&gt;"",Anmeldung!$G$18&lt;&gt;Anmeldung!$G$26,(Anmeldung!$B$18&amp;": "&amp;Anmeldung!$D$18&amp;", "&amp;Anmeldung!$E$18&amp;" / "&amp;Anmeldung!$G$18&amp;" / "&amp;Anmeldung!$J$18)&lt;&gt;Anmeldung!$S$26),Anmeldung!$B$18&amp;": "&amp;Anmeldung!$D$18&amp;", "&amp;Anmeldung!$E$18&amp;" / "&amp;Anmeldung!$G$18&amp;" / "&amp;Anmeldung!$J$18,"")</f>
        <v/>
      </c>
      <c r="BQ5" t="str">
        <f>IF(AND(11&lt;&gt;19,Anmeldung!$D$18&lt;&gt;"",(Anmeldung!$B$18&amp;": "&amp;Anmeldung!$D$18&amp;", "&amp;Anmeldung!$E$18&amp;" / "&amp;Anmeldung!$G$18&amp;" / "&amp;Anmeldung!$J$18)&lt;&gt;Anmeldung!$R$26),Anmeldung!$B$18&amp;": "&amp;Anmeldung!$D$18&amp;", "&amp;Anmeldung!$E$18&amp;" / "&amp;Anmeldung!$G$18&amp;" / "&amp;Anmeldung!$J$18,"")</f>
        <v/>
      </c>
      <c r="BR5" t="str">
        <f>IF(AND(10&lt;&gt;18,Anmeldung!$D$18&lt;&gt;"",Anmeldung!$U$18="Ja",Anmeldung!$G$18=Anmeldung!$G$26,Anmeldung!$J$18=Anmeldung!$J$26),Anmeldung!$B$18&amp;": "&amp;Anmeldung!$D$18&amp;", "&amp;Anmeldung!$E$18&amp;" / "&amp;Anmeldung!$G$18&amp;" / "&amp;Anmeldung!$J$18,"")</f>
        <v/>
      </c>
      <c r="BU5" t="str">
        <f>IF(AND(11&lt;&gt;20,Anmeldung!$D$18&lt;&gt;"",Anmeldung!$G$18=Anmeldung!$G$27,Anmeldung!$J$18=Anmeldung!$J$27),Anmeldung!$B$18&amp;": "&amp;Anmeldung!$D$18&amp;", "&amp;Anmeldung!$E$18&amp;" / "&amp;Anmeldung!$G$18&amp;" / "&amp;Anmeldung!$J$18,"")</f>
        <v/>
      </c>
      <c r="BV5" t="str">
        <f>IF(AND(11&lt;&gt;20,Anmeldung!$D$18&lt;&gt;"",Anmeldung!$G$18=Anmeldung!$G$27,Anmeldung!$J$18=Anmeldung!$J$27,(Anmeldung!$B$18&amp;": "&amp;Anmeldung!$D$18&amp;", "&amp;Anmeldung!$E$18&amp;" / "&amp;Anmeldung!$G$18&amp;" / "&amp;Anmeldung!$J$18)&lt;&gt;Anmeldung!$P$27),Anmeldung!$B$18&amp;": "&amp;Anmeldung!$D$18&amp;", "&amp;Anmeldung!$E$18&amp;" / "&amp;Anmeldung!$G$18&amp;" / "&amp;Anmeldung!$J$18,"")</f>
        <v/>
      </c>
      <c r="BW5" t="str">
        <f>IF(AND(11&lt;&gt;20,Anmeldung!$D$18&lt;&gt;"",Anmeldung!$G$18=Anmeldung!$G$27,Anmeldung!$J$18=Anmeldung!$J$27,(Anmeldung!$B$18&amp;": "&amp;Anmeldung!$D$18&amp;", "&amp;Anmeldung!$E$18&amp;" / "&amp;Anmeldung!$G$18&amp;" / "&amp;Anmeldung!$J$18)&lt;&gt;Anmeldung!$O$27),Anmeldung!$B$18&amp;": "&amp;Anmeldung!$D$18&amp;", "&amp;Anmeldung!$E$18&amp;" / "&amp;Anmeldung!$G$18&amp;" / "&amp;Anmeldung!$J$18,"")</f>
        <v/>
      </c>
      <c r="BX5" t="str">
        <f>IF(AND(11&lt;&gt;20,Anmeldung!$D$18&lt;&gt;"",Anmeldung!$G$18&lt;&gt;Anmeldung!$G$27,(Anmeldung!$B$18&amp;": "&amp;Anmeldung!$D$18&amp;", "&amp;Anmeldung!$E$18&amp;" / "&amp;Anmeldung!$G$18&amp;" / "&amp;Anmeldung!$J$18)&lt;&gt;Anmeldung!$S$27),Anmeldung!$B$18&amp;": "&amp;Anmeldung!$D$18&amp;", "&amp;Anmeldung!$E$18&amp;" / "&amp;Anmeldung!$G$18&amp;" / "&amp;Anmeldung!$J$18,"")</f>
        <v/>
      </c>
      <c r="BY5" t="str">
        <f>IF(AND(11&lt;&gt;20,Anmeldung!$D$18&lt;&gt;"",(Anmeldung!$B$18&amp;": "&amp;Anmeldung!$D$18&amp;", "&amp;Anmeldung!$E$18&amp;" / "&amp;Anmeldung!$G$18&amp;" / "&amp;Anmeldung!$J$18)&lt;&gt;Anmeldung!$R$27),Anmeldung!$B$18&amp;": "&amp;Anmeldung!$D$18&amp;", "&amp;Anmeldung!$E$18&amp;" / "&amp;Anmeldung!$G$18&amp;" / "&amp;Anmeldung!$J$18,"")</f>
        <v/>
      </c>
      <c r="BZ5" t="str">
        <f>IF(AND(10&lt;&gt;19,Anmeldung!$D$18&lt;&gt;"",Anmeldung!$U$18="Ja",Anmeldung!$G$18=Anmeldung!$G$27,Anmeldung!$J$18=Anmeldung!$J$27),Anmeldung!$B$18&amp;": "&amp;Anmeldung!$D$18&amp;", "&amp;Anmeldung!$E$18&amp;" / "&amp;Anmeldung!$G$18&amp;" / "&amp;Anmeldung!$J$18,"")</f>
        <v/>
      </c>
      <c r="CC5" t="str">
        <f>IF(AND(11&lt;&gt;21,Anmeldung!$D$18&lt;&gt;"",Anmeldung!$G$18=Anmeldung!$G$28,Anmeldung!$J$18=Anmeldung!$J$28),Anmeldung!$B$18&amp;": "&amp;Anmeldung!$D$18&amp;", "&amp;Anmeldung!$E$18&amp;" / "&amp;Anmeldung!$G$18&amp;" / "&amp;Anmeldung!$J$18,"")</f>
        <v/>
      </c>
      <c r="CD5" t="str">
        <f>IF(AND(11&lt;&gt;21,Anmeldung!$D$18&lt;&gt;"",Anmeldung!$G$18=Anmeldung!$G$28,Anmeldung!$J$18=Anmeldung!$J$28,(Anmeldung!$B$18&amp;": "&amp;Anmeldung!$D$18&amp;", "&amp;Anmeldung!$E$18&amp;" / "&amp;Anmeldung!$G$18&amp;" / "&amp;Anmeldung!$J$18)&lt;&gt;Anmeldung!$P$28),Anmeldung!$B$18&amp;": "&amp;Anmeldung!$D$18&amp;", "&amp;Anmeldung!$E$18&amp;" / "&amp;Anmeldung!$G$18&amp;" / "&amp;Anmeldung!$J$18,"")</f>
        <v/>
      </c>
      <c r="CE5" t="str">
        <f>IF(AND(11&lt;&gt;21,Anmeldung!$D$18&lt;&gt;"",Anmeldung!$G$18=Anmeldung!$G$28,Anmeldung!$J$18=Anmeldung!$J$28,(Anmeldung!$B$18&amp;": "&amp;Anmeldung!$D$18&amp;", "&amp;Anmeldung!$E$18&amp;" / "&amp;Anmeldung!$G$18&amp;" / "&amp;Anmeldung!$J$18)&lt;&gt;Anmeldung!$O$28),Anmeldung!$B$18&amp;": "&amp;Anmeldung!$D$18&amp;", "&amp;Anmeldung!$E$18&amp;" / "&amp;Anmeldung!$G$18&amp;" / "&amp;Anmeldung!$J$18,"")</f>
        <v/>
      </c>
      <c r="CF5" t="str">
        <f>IF(AND(11&lt;&gt;21,Anmeldung!$D$18&lt;&gt;"",Anmeldung!$G$18&lt;&gt;Anmeldung!$G$28,(Anmeldung!$B$18&amp;": "&amp;Anmeldung!$D$18&amp;", "&amp;Anmeldung!$E$18&amp;" / "&amp;Anmeldung!$G$18&amp;" / "&amp;Anmeldung!$J$18)&lt;&gt;Anmeldung!$S$28),Anmeldung!$B$18&amp;": "&amp;Anmeldung!$D$18&amp;", "&amp;Anmeldung!$E$18&amp;" / "&amp;Anmeldung!$G$18&amp;" / "&amp;Anmeldung!$J$18,"")</f>
        <v/>
      </c>
      <c r="CG5" t="str">
        <f>IF(AND(11&lt;&gt;21,Anmeldung!$D$18&lt;&gt;"",(Anmeldung!$B$18&amp;": "&amp;Anmeldung!$D$18&amp;", "&amp;Anmeldung!$E$18&amp;" / "&amp;Anmeldung!$G$18&amp;" / "&amp;Anmeldung!$J$18)&lt;&gt;Anmeldung!$R$28),Anmeldung!$B$18&amp;": "&amp;Anmeldung!$D$18&amp;", "&amp;Anmeldung!$E$18&amp;" / "&amp;Anmeldung!$G$18&amp;" / "&amp;Anmeldung!$J$18,"")</f>
        <v/>
      </c>
      <c r="CH5" t="str">
        <f>IF(AND(10&lt;&gt;20,Anmeldung!$D$18&lt;&gt;"",Anmeldung!$U$18="Ja",Anmeldung!$G$18=Anmeldung!$G$28,Anmeldung!$J$18=Anmeldung!$J$28),Anmeldung!$B$18&amp;": "&amp;Anmeldung!$D$18&amp;", "&amp;Anmeldung!$E$18&amp;" / "&amp;Anmeldung!$G$18&amp;" / "&amp;Anmeldung!$J$18,"")</f>
        <v/>
      </c>
      <c r="CK5" t="str">
        <f>IF(AND(11&lt;&gt;22,Anmeldung!$D$18&lt;&gt;"",Anmeldung!$G$18=Anmeldung!$G$29,Anmeldung!$J$18=Anmeldung!$J$29),Anmeldung!$B$18&amp;": "&amp;Anmeldung!$D$18&amp;", "&amp;Anmeldung!$E$18&amp;" / "&amp;Anmeldung!$G$18&amp;" / "&amp;Anmeldung!$J$18,"")</f>
        <v/>
      </c>
      <c r="CL5" t="str">
        <f>IF(AND(11&lt;&gt;22,Anmeldung!$D$18&lt;&gt;"",Anmeldung!$G$18=Anmeldung!$G$29,Anmeldung!$J$18=Anmeldung!$J$29,(Anmeldung!$B$18&amp;": "&amp;Anmeldung!$D$18&amp;", "&amp;Anmeldung!$E$18&amp;" / "&amp;Anmeldung!$G$18&amp;" / "&amp;Anmeldung!$J$18)&lt;&gt;Anmeldung!$P$29),Anmeldung!$B$18&amp;": "&amp;Anmeldung!$D$18&amp;", "&amp;Anmeldung!$E$18&amp;" / "&amp;Anmeldung!$G$18&amp;" / "&amp;Anmeldung!$J$18,"")</f>
        <v/>
      </c>
      <c r="CM5" t="str">
        <f>IF(AND(11&lt;&gt;22,Anmeldung!$D$18&lt;&gt;"",Anmeldung!$G$18=Anmeldung!$G$29,Anmeldung!$J$18=Anmeldung!$J$29,(Anmeldung!$B$18&amp;": "&amp;Anmeldung!$D$18&amp;", "&amp;Anmeldung!$E$18&amp;" / "&amp;Anmeldung!$G$18&amp;" / "&amp;Anmeldung!$J$18)&lt;&gt;Anmeldung!$O$29),Anmeldung!$B$18&amp;": "&amp;Anmeldung!$D$18&amp;", "&amp;Anmeldung!$E$18&amp;" / "&amp;Anmeldung!$G$18&amp;" / "&amp;Anmeldung!$J$18,"")</f>
        <v/>
      </c>
      <c r="CN5" t="str">
        <f>IF(AND(11&lt;&gt;22,Anmeldung!$D$18&lt;&gt;"",Anmeldung!$G$18&lt;&gt;Anmeldung!$G$29,(Anmeldung!$B$18&amp;": "&amp;Anmeldung!$D$18&amp;", "&amp;Anmeldung!$E$18&amp;" / "&amp;Anmeldung!$G$18&amp;" / "&amp;Anmeldung!$J$18)&lt;&gt;Anmeldung!$S$29),Anmeldung!$B$18&amp;": "&amp;Anmeldung!$D$18&amp;", "&amp;Anmeldung!$E$18&amp;" / "&amp;Anmeldung!$G$18&amp;" / "&amp;Anmeldung!$J$18,"")</f>
        <v/>
      </c>
      <c r="CO5" t="str">
        <f>IF(AND(11&lt;&gt;22,Anmeldung!$D$18&lt;&gt;"",(Anmeldung!$B$18&amp;": "&amp;Anmeldung!$D$18&amp;", "&amp;Anmeldung!$E$18&amp;" / "&amp;Anmeldung!$G$18&amp;" / "&amp;Anmeldung!$J$18)&lt;&gt;Anmeldung!$R$29),Anmeldung!$B$18&amp;": "&amp;Anmeldung!$D$18&amp;", "&amp;Anmeldung!$E$18&amp;" / "&amp;Anmeldung!$G$18&amp;" / "&amp;Anmeldung!$J$18,"")</f>
        <v/>
      </c>
      <c r="CP5" t="str">
        <f>IF(AND(10&lt;&gt;21,Anmeldung!$D$18&lt;&gt;"",Anmeldung!$U$18="Ja",Anmeldung!$G$18=Anmeldung!$G$29,Anmeldung!$J$18=Anmeldung!$J$29),Anmeldung!$B$18&amp;": "&amp;Anmeldung!$D$18&amp;", "&amp;Anmeldung!$E$18&amp;" / "&amp;Anmeldung!$G$18&amp;" / "&amp;Anmeldung!$J$18,"")</f>
        <v/>
      </c>
      <c r="CS5" t="str">
        <f>IF(AND(11&lt;&gt;23,Anmeldung!$D$18&lt;&gt;"",Anmeldung!$G$18=Anmeldung!$G$30,Anmeldung!$J$18=Anmeldung!$J$30),Anmeldung!$B$18&amp;": "&amp;Anmeldung!$D$18&amp;", "&amp;Anmeldung!$E$18&amp;" / "&amp;Anmeldung!$G$18&amp;" / "&amp;Anmeldung!$J$18,"")</f>
        <v/>
      </c>
      <c r="CT5" t="str">
        <f>IF(AND(11&lt;&gt;23,Anmeldung!$D$18&lt;&gt;"",Anmeldung!$G$18=Anmeldung!$G$30,Anmeldung!$J$18=Anmeldung!$J$30,(Anmeldung!$B$18&amp;": "&amp;Anmeldung!$D$18&amp;", "&amp;Anmeldung!$E$18&amp;" / "&amp;Anmeldung!$G$18&amp;" / "&amp;Anmeldung!$J$18)&lt;&gt;Anmeldung!$P$30),Anmeldung!$B$18&amp;": "&amp;Anmeldung!$D$18&amp;", "&amp;Anmeldung!$E$18&amp;" / "&amp;Anmeldung!$G$18&amp;" / "&amp;Anmeldung!$J$18,"")</f>
        <v/>
      </c>
      <c r="CU5" t="str">
        <f>IF(AND(11&lt;&gt;23,Anmeldung!$D$18&lt;&gt;"",Anmeldung!$G$18=Anmeldung!$G$30,Anmeldung!$J$18=Anmeldung!$J$30,(Anmeldung!$B$18&amp;": "&amp;Anmeldung!$D$18&amp;", "&amp;Anmeldung!$E$18&amp;" / "&amp;Anmeldung!$G$18&amp;" / "&amp;Anmeldung!$J$18)&lt;&gt;Anmeldung!$O$30),Anmeldung!$B$18&amp;": "&amp;Anmeldung!$D$18&amp;", "&amp;Anmeldung!$E$18&amp;" / "&amp;Anmeldung!$G$18&amp;" / "&amp;Anmeldung!$J$18,"")</f>
        <v/>
      </c>
      <c r="CV5" t="str">
        <f>IF(AND(11&lt;&gt;23,Anmeldung!$D$18&lt;&gt;"",Anmeldung!$G$18&lt;&gt;Anmeldung!$G$30,(Anmeldung!$B$18&amp;": "&amp;Anmeldung!$D$18&amp;", "&amp;Anmeldung!$E$18&amp;" / "&amp;Anmeldung!$G$18&amp;" / "&amp;Anmeldung!$J$18)&lt;&gt;Anmeldung!$S$30),Anmeldung!$B$18&amp;": "&amp;Anmeldung!$D$18&amp;", "&amp;Anmeldung!$E$18&amp;" / "&amp;Anmeldung!$G$18&amp;" / "&amp;Anmeldung!$J$18,"")</f>
        <v/>
      </c>
      <c r="CW5" t="str">
        <f>IF(AND(11&lt;&gt;23,Anmeldung!$D$18&lt;&gt;"",(Anmeldung!$B$18&amp;": "&amp;Anmeldung!$D$18&amp;", "&amp;Anmeldung!$E$18&amp;" / "&amp;Anmeldung!$G$18&amp;" / "&amp;Anmeldung!$J$18)&lt;&gt;Anmeldung!$R$30),Anmeldung!$B$18&amp;": "&amp;Anmeldung!$D$18&amp;", "&amp;Anmeldung!$E$18&amp;" / "&amp;Anmeldung!$G$18&amp;" / "&amp;Anmeldung!$J$18,"")</f>
        <v/>
      </c>
      <c r="CX5" t="str">
        <f>IF(AND(10&lt;&gt;22,Anmeldung!$D$18&lt;&gt;"",Anmeldung!$U$18="Ja",Anmeldung!$G$18=Anmeldung!$G$30,Anmeldung!$J$18=Anmeldung!$J$30),Anmeldung!$B$18&amp;": "&amp;Anmeldung!$D$18&amp;", "&amp;Anmeldung!$E$18&amp;" / "&amp;Anmeldung!$G$18&amp;" / "&amp;Anmeldung!$J$18,"")</f>
        <v/>
      </c>
      <c r="DA5" t="str">
        <f>IF(AND(11&lt;&gt;24,Anmeldung!$D$18&lt;&gt;"",Anmeldung!$G$18=Anmeldung!$G$31,Anmeldung!$J$18=Anmeldung!$J$31),Anmeldung!$B$18&amp;": "&amp;Anmeldung!$D$18&amp;", "&amp;Anmeldung!$E$18&amp;" / "&amp;Anmeldung!$G$18&amp;" / "&amp;Anmeldung!$J$18,"")</f>
        <v/>
      </c>
      <c r="DB5" t="str">
        <f>IF(AND(11&lt;&gt;24,Anmeldung!$D$18&lt;&gt;"",Anmeldung!$G$18=Anmeldung!$G$31,Anmeldung!$J$18=Anmeldung!$J$31,(Anmeldung!$B$18&amp;": "&amp;Anmeldung!$D$18&amp;", "&amp;Anmeldung!$E$18&amp;" / "&amp;Anmeldung!$G$18&amp;" / "&amp;Anmeldung!$J$18)&lt;&gt;Anmeldung!$P$31),Anmeldung!$B$18&amp;": "&amp;Anmeldung!$D$18&amp;", "&amp;Anmeldung!$E$18&amp;" / "&amp;Anmeldung!$G$18&amp;" / "&amp;Anmeldung!$J$18,"")</f>
        <v/>
      </c>
      <c r="DC5" t="str">
        <f>IF(AND(11&lt;&gt;24,Anmeldung!$D$18&lt;&gt;"",Anmeldung!$G$18=Anmeldung!$G$31,Anmeldung!$J$18=Anmeldung!$J$31,(Anmeldung!$B$18&amp;": "&amp;Anmeldung!$D$18&amp;", "&amp;Anmeldung!$E$18&amp;" / "&amp;Anmeldung!$G$18&amp;" / "&amp;Anmeldung!$J$18)&lt;&gt;Anmeldung!$O$31),Anmeldung!$B$18&amp;": "&amp;Anmeldung!$D$18&amp;", "&amp;Anmeldung!$E$18&amp;" / "&amp;Anmeldung!$G$18&amp;" / "&amp;Anmeldung!$J$18,"")</f>
        <v/>
      </c>
      <c r="DD5" t="str">
        <f>IF(AND(11&lt;&gt;24,Anmeldung!$D$18&lt;&gt;"",Anmeldung!$G$18&lt;&gt;Anmeldung!$G$31,(Anmeldung!$B$18&amp;": "&amp;Anmeldung!$D$18&amp;", "&amp;Anmeldung!$E$18&amp;" / "&amp;Anmeldung!$G$18&amp;" / "&amp;Anmeldung!$J$18)&lt;&gt;Anmeldung!$S$31),Anmeldung!$B$18&amp;": "&amp;Anmeldung!$D$18&amp;", "&amp;Anmeldung!$E$18&amp;" / "&amp;Anmeldung!$G$18&amp;" / "&amp;Anmeldung!$J$18,"")</f>
        <v/>
      </c>
      <c r="DE5" t="str">
        <f>IF(AND(11&lt;&gt;24,Anmeldung!$D$18&lt;&gt;"",(Anmeldung!$B$18&amp;": "&amp;Anmeldung!$D$18&amp;", "&amp;Anmeldung!$E$18&amp;" / "&amp;Anmeldung!$G$18&amp;" / "&amp;Anmeldung!$J$18)&lt;&gt;Anmeldung!$R$31),Anmeldung!$B$18&amp;": "&amp;Anmeldung!$D$18&amp;", "&amp;Anmeldung!$E$18&amp;" / "&amp;Anmeldung!$G$18&amp;" / "&amp;Anmeldung!$J$18,"")</f>
        <v/>
      </c>
      <c r="DF5" t="str">
        <f>IF(AND(10&lt;&gt;23,Anmeldung!$D$18&lt;&gt;"",Anmeldung!$U$18="Ja",Anmeldung!$G$18=Anmeldung!$G$31,Anmeldung!$J$18=Anmeldung!$J$31),Anmeldung!$B$18&amp;": "&amp;Anmeldung!$D$18&amp;", "&amp;Anmeldung!$E$18&amp;" / "&amp;Anmeldung!$G$18&amp;" / "&amp;Anmeldung!$J$18,"")</f>
        <v/>
      </c>
      <c r="DI5" t="str">
        <f>IF(AND(11&lt;&gt;25,Anmeldung!$D$18&lt;&gt;"",Anmeldung!$G$18=Anmeldung!$G$32,Anmeldung!$J$18=Anmeldung!$J$32),Anmeldung!$B$18&amp;": "&amp;Anmeldung!$D$18&amp;", "&amp;Anmeldung!$E$18&amp;" / "&amp;Anmeldung!$G$18&amp;" / "&amp;Anmeldung!$J$18,"")</f>
        <v/>
      </c>
      <c r="DJ5" t="str">
        <f>IF(AND(11&lt;&gt;25,Anmeldung!$D$18&lt;&gt;"",Anmeldung!$G$18=Anmeldung!$G$32,Anmeldung!$J$18=Anmeldung!$J$32,(Anmeldung!$B$18&amp;": "&amp;Anmeldung!$D$18&amp;", "&amp;Anmeldung!$E$18&amp;" / "&amp;Anmeldung!$G$18&amp;" / "&amp;Anmeldung!$J$18)&lt;&gt;Anmeldung!$P$32),Anmeldung!$B$18&amp;": "&amp;Anmeldung!$D$18&amp;", "&amp;Anmeldung!$E$18&amp;" / "&amp;Anmeldung!$G$18&amp;" / "&amp;Anmeldung!$J$18,"")</f>
        <v/>
      </c>
      <c r="DK5" t="str">
        <f>IF(AND(11&lt;&gt;25,Anmeldung!$D$18&lt;&gt;"",Anmeldung!$G$18=Anmeldung!$G$32,Anmeldung!$J$18=Anmeldung!$J$32,(Anmeldung!$B$18&amp;": "&amp;Anmeldung!$D$18&amp;", "&amp;Anmeldung!$E$18&amp;" / "&amp;Anmeldung!$G$18&amp;" / "&amp;Anmeldung!$J$18)&lt;&gt;Anmeldung!$O$32),Anmeldung!$B$18&amp;": "&amp;Anmeldung!$D$18&amp;", "&amp;Anmeldung!$E$18&amp;" / "&amp;Anmeldung!$G$18&amp;" / "&amp;Anmeldung!$J$18,"")</f>
        <v/>
      </c>
      <c r="DL5" t="str">
        <f>IF(AND(11&lt;&gt;25,Anmeldung!$D$18&lt;&gt;"",Anmeldung!$G$18&lt;&gt;Anmeldung!$G$32,(Anmeldung!$B$18&amp;": "&amp;Anmeldung!$D$18&amp;", "&amp;Anmeldung!$E$18&amp;" / "&amp;Anmeldung!$G$18&amp;" / "&amp;Anmeldung!$J$18)&lt;&gt;Anmeldung!$S$32),Anmeldung!$B$18&amp;": "&amp;Anmeldung!$D$18&amp;", "&amp;Anmeldung!$E$18&amp;" / "&amp;Anmeldung!$G$18&amp;" / "&amp;Anmeldung!$J$18,"")</f>
        <v/>
      </c>
      <c r="DM5" t="str">
        <f>IF(AND(11&lt;&gt;25,Anmeldung!$D$18&lt;&gt;"",(Anmeldung!$B$18&amp;": "&amp;Anmeldung!$D$18&amp;", "&amp;Anmeldung!$E$18&amp;" / "&amp;Anmeldung!$G$18&amp;" / "&amp;Anmeldung!$J$18)&lt;&gt;Anmeldung!$R$32),Anmeldung!$B$18&amp;": "&amp;Anmeldung!$D$18&amp;", "&amp;Anmeldung!$E$18&amp;" / "&amp;Anmeldung!$G$18&amp;" / "&amp;Anmeldung!$J$18,"")</f>
        <v/>
      </c>
      <c r="DN5" t="str">
        <f>IF(AND(10&lt;&gt;24,Anmeldung!$D$18&lt;&gt;"",Anmeldung!$U$18="Ja",Anmeldung!$G$18=Anmeldung!$G$32,Anmeldung!$J$18=Anmeldung!$J$32),Anmeldung!$B$18&amp;": "&amp;Anmeldung!$D$18&amp;", "&amp;Anmeldung!$E$18&amp;" / "&amp;Anmeldung!$G$18&amp;" / "&amp;Anmeldung!$J$18,"")</f>
        <v/>
      </c>
      <c r="DQ5" t="str">
        <f>IF(AND(11&lt;&gt;26,Anmeldung!$D$18&lt;&gt;"",Anmeldung!$G$18=Anmeldung!$G$33,Anmeldung!$J$18=Anmeldung!$J$33),Anmeldung!$B$18&amp;": "&amp;Anmeldung!$D$18&amp;", "&amp;Anmeldung!$E$18&amp;" / "&amp;Anmeldung!$G$18&amp;" / "&amp;Anmeldung!$J$18,"")</f>
        <v/>
      </c>
      <c r="DR5" t="str">
        <f>IF(AND(11&lt;&gt;26,Anmeldung!$D$18&lt;&gt;"",Anmeldung!$G$18=Anmeldung!$G$33,Anmeldung!$J$18=Anmeldung!$J$33,(Anmeldung!$B$18&amp;": "&amp;Anmeldung!$D$18&amp;", "&amp;Anmeldung!$E$18&amp;" / "&amp;Anmeldung!$G$18&amp;" / "&amp;Anmeldung!$J$18)&lt;&gt;Anmeldung!$P$33),Anmeldung!$B$18&amp;": "&amp;Anmeldung!$D$18&amp;", "&amp;Anmeldung!$E$18&amp;" / "&amp;Anmeldung!$G$18&amp;" / "&amp;Anmeldung!$J$18,"")</f>
        <v/>
      </c>
      <c r="DS5" t="str">
        <f>IF(AND(11&lt;&gt;26,Anmeldung!$D$18&lt;&gt;"",Anmeldung!$G$18=Anmeldung!$G$33,Anmeldung!$J$18=Anmeldung!$J$33,(Anmeldung!$B$18&amp;": "&amp;Anmeldung!$D$18&amp;", "&amp;Anmeldung!$E$18&amp;" / "&amp;Anmeldung!$G$18&amp;" / "&amp;Anmeldung!$J$18)&lt;&gt;Anmeldung!$O$33),Anmeldung!$B$18&amp;": "&amp;Anmeldung!$D$18&amp;", "&amp;Anmeldung!$E$18&amp;" / "&amp;Anmeldung!$G$18&amp;" / "&amp;Anmeldung!$J$18,"")</f>
        <v/>
      </c>
      <c r="DT5" t="str">
        <f>IF(AND(11&lt;&gt;26,Anmeldung!$D$18&lt;&gt;"",Anmeldung!$G$18&lt;&gt;Anmeldung!$G$33,(Anmeldung!$B$18&amp;": "&amp;Anmeldung!$D$18&amp;", "&amp;Anmeldung!$E$18&amp;" / "&amp;Anmeldung!$G$18&amp;" / "&amp;Anmeldung!$J$18)&lt;&gt;Anmeldung!$S$33),Anmeldung!$B$18&amp;": "&amp;Anmeldung!$D$18&amp;", "&amp;Anmeldung!$E$18&amp;" / "&amp;Anmeldung!$G$18&amp;" / "&amp;Anmeldung!$J$18,"")</f>
        <v/>
      </c>
      <c r="DU5" t="str">
        <f>IF(AND(11&lt;&gt;26,Anmeldung!$D$18&lt;&gt;"",(Anmeldung!$B$18&amp;": "&amp;Anmeldung!$D$18&amp;", "&amp;Anmeldung!$E$18&amp;" / "&amp;Anmeldung!$G$18&amp;" / "&amp;Anmeldung!$J$18)&lt;&gt;Anmeldung!$R$33),Anmeldung!$B$18&amp;": "&amp;Anmeldung!$D$18&amp;", "&amp;Anmeldung!$E$18&amp;" / "&amp;Anmeldung!$G$18&amp;" / "&amp;Anmeldung!$J$18,"")</f>
        <v/>
      </c>
      <c r="DV5" t="str">
        <f>IF(AND(10&lt;&gt;25,Anmeldung!$D$18&lt;&gt;"",Anmeldung!$U$18="Ja",Anmeldung!$G$18=Anmeldung!$G$33,Anmeldung!$J$18=Anmeldung!$J$33),Anmeldung!$B$18&amp;": "&amp;Anmeldung!$D$18&amp;", "&amp;Anmeldung!$E$18&amp;" / "&amp;Anmeldung!$G$18&amp;" / "&amp;Anmeldung!$J$18,"")</f>
        <v/>
      </c>
      <c r="DY5" t="str">
        <f>IF(AND(11&lt;&gt;27,Anmeldung!$D$18&lt;&gt;"",Anmeldung!$G$18=Anmeldung!$G$34,Anmeldung!$J$18=Anmeldung!$J$34),Anmeldung!$B$18&amp;": "&amp;Anmeldung!$D$18&amp;", "&amp;Anmeldung!$E$18&amp;" / "&amp;Anmeldung!$G$18&amp;" / "&amp;Anmeldung!$J$18,"")</f>
        <v/>
      </c>
      <c r="DZ5" t="str">
        <f>IF(AND(11&lt;&gt;27,Anmeldung!$D$18&lt;&gt;"",Anmeldung!$G$18=Anmeldung!$G$34,Anmeldung!$J$18=Anmeldung!$J$34,(Anmeldung!$B$18&amp;": "&amp;Anmeldung!$D$18&amp;", "&amp;Anmeldung!$E$18&amp;" / "&amp;Anmeldung!$G$18&amp;" / "&amp;Anmeldung!$J$18)&lt;&gt;Anmeldung!$P$34),Anmeldung!$B$18&amp;": "&amp;Anmeldung!$D$18&amp;", "&amp;Anmeldung!$E$18&amp;" / "&amp;Anmeldung!$G$18&amp;" / "&amp;Anmeldung!$J$18,"")</f>
        <v/>
      </c>
      <c r="EA5" t="str">
        <f>IF(AND(11&lt;&gt;27,Anmeldung!$D$18&lt;&gt;"",Anmeldung!$G$18=Anmeldung!$G$34,Anmeldung!$J$18=Anmeldung!$J$34,(Anmeldung!$B$18&amp;": "&amp;Anmeldung!$D$18&amp;", "&amp;Anmeldung!$E$18&amp;" / "&amp;Anmeldung!$G$18&amp;" / "&amp;Anmeldung!$J$18)&lt;&gt;Anmeldung!$O$34),Anmeldung!$B$18&amp;": "&amp;Anmeldung!$D$18&amp;", "&amp;Anmeldung!$E$18&amp;" / "&amp;Anmeldung!$G$18&amp;" / "&amp;Anmeldung!$J$18,"")</f>
        <v/>
      </c>
      <c r="EB5" t="str">
        <f>IF(AND(11&lt;&gt;27,Anmeldung!$D$18&lt;&gt;"",Anmeldung!$G$18&lt;&gt;Anmeldung!$G$34,(Anmeldung!$B$18&amp;": "&amp;Anmeldung!$D$18&amp;", "&amp;Anmeldung!$E$18&amp;" / "&amp;Anmeldung!$G$18&amp;" / "&amp;Anmeldung!$J$18)&lt;&gt;Anmeldung!$S$34),Anmeldung!$B$18&amp;": "&amp;Anmeldung!$D$18&amp;", "&amp;Anmeldung!$E$18&amp;" / "&amp;Anmeldung!$G$18&amp;" / "&amp;Anmeldung!$J$18,"")</f>
        <v/>
      </c>
      <c r="EC5" t="str">
        <f>IF(AND(11&lt;&gt;27,Anmeldung!$D$18&lt;&gt;"",(Anmeldung!$B$18&amp;": "&amp;Anmeldung!$D$18&amp;", "&amp;Anmeldung!$E$18&amp;" / "&amp;Anmeldung!$G$18&amp;" / "&amp;Anmeldung!$J$18)&lt;&gt;Anmeldung!$R$34),Anmeldung!$B$18&amp;": "&amp;Anmeldung!$D$18&amp;", "&amp;Anmeldung!$E$18&amp;" / "&amp;Anmeldung!$G$18&amp;" / "&amp;Anmeldung!$J$18,"")</f>
        <v/>
      </c>
      <c r="ED5" t="str">
        <f>IF(AND(10&lt;&gt;26,Anmeldung!$D$18&lt;&gt;"",Anmeldung!$U$18="Ja",Anmeldung!$G$18=Anmeldung!$G$34,Anmeldung!$J$18=Anmeldung!$J$34),Anmeldung!$B$18&amp;": "&amp;Anmeldung!$D$18&amp;", "&amp;Anmeldung!$E$18&amp;" / "&amp;Anmeldung!$G$18&amp;" / "&amp;Anmeldung!$J$18,"")</f>
        <v/>
      </c>
      <c r="EG5" t="str">
        <f>IF(AND(11&lt;&gt;28,Anmeldung!$D$18&lt;&gt;"",Anmeldung!$G$18=Anmeldung!$G$35,Anmeldung!$J$18=Anmeldung!$J$35),Anmeldung!$B$18&amp;": "&amp;Anmeldung!$D$18&amp;", "&amp;Anmeldung!$E$18&amp;" / "&amp;Anmeldung!$G$18&amp;" / "&amp;Anmeldung!$J$18,"")</f>
        <v/>
      </c>
      <c r="EH5" t="str">
        <f>IF(AND(11&lt;&gt;28,Anmeldung!$D$18&lt;&gt;"",Anmeldung!$G$18=Anmeldung!$G$35,Anmeldung!$J$18=Anmeldung!$J$35,(Anmeldung!$B$18&amp;": "&amp;Anmeldung!$D$18&amp;", "&amp;Anmeldung!$E$18&amp;" / "&amp;Anmeldung!$G$18&amp;" / "&amp;Anmeldung!$J$18)&lt;&gt;Anmeldung!$P$35),Anmeldung!$B$18&amp;": "&amp;Anmeldung!$D$18&amp;", "&amp;Anmeldung!$E$18&amp;" / "&amp;Anmeldung!$G$18&amp;" / "&amp;Anmeldung!$J$18,"")</f>
        <v/>
      </c>
      <c r="EI5" t="str">
        <f>IF(AND(11&lt;&gt;28,Anmeldung!$D$18&lt;&gt;"",Anmeldung!$G$18=Anmeldung!$G$35,Anmeldung!$J$18=Anmeldung!$J$35,(Anmeldung!$B$18&amp;": "&amp;Anmeldung!$D$18&amp;", "&amp;Anmeldung!$E$18&amp;" / "&amp;Anmeldung!$G$18&amp;" / "&amp;Anmeldung!$J$18)&lt;&gt;Anmeldung!$O$35),Anmeldung!$B$18&amp;": "&amp;Anmeldung!$D$18&amp;", "&amp;Anmeldung!$E$18&amp;" / "&amp;Anmeldung!$G$18&amp;" / "&amp;Anmeldung!$J$18,"")</f>
        <v/>
      </c>
      <c r="EJ5" t="str">
        <f>IF(AND(11&lt;&gt;28,Anmeldung!$D$18&lt;&gt;"",Anmeldung!$G$18&lt;&gt;Anmeldung!$G$35,(Anmeldung!$B$18&amp;": "&amp;Anmeldung!$D$18&amp;", "&amp;Anmeldung!$E$18&amp;" / "&amp;Anmeldung!$G$18&amp;" / "&amp;Anmeldung!$J$18)&lt;&gt;Anmeldung!$S$35),Anmeldung!$B$18&amp;": "&amp;Anmeldung!$D$18&amp;", "&amp;Anmeldung!$E$18&amp;" / "&amp;Anmeldung!$G$18&amp;" / "&amp;Anmeldung!$J$18,"")</f>
        <v/>
      </c>
      <c r="EK5" t="str">
        <f>IF(AND(11&lt;&gt;28,Anmeldung!$D$18&lt;&gt;"",(Anmeldung!$B$18&amp;": "&amp;Anmeldung!$D$18&amp;", "&amp;Anmeldung!$E$18&amp;" / "&amp;Anmeldung!$G$18&amp;" / "&amp;Anmeldung!$J$18)&lt;&gt;Anmeldung!$R$35),Anmeldung!$B$18&amp;": "&amp;Anmeldung!$D$18&amp;", "&amp;Anmeldung!$E$18&amp;" / "&amp;Anmeldung!$G$18&amp;" / "&amp;Anmeldung!$J$18,"")</f>
        <v/>
      </c>
      <c r="EL5" t="str">
        <f>IF(AND(10&lt;&gt;27,Anmeldung!$D$18&lt;&gt;"",Anmeldung!$U$18="Ja",Anmeldung!$G$18=Anmeldung!$G$35,Anmeldung!$J$18=Anmeldung!$J$35),Anmeldung!$B$18&amp;": "&amp;Anmeldung!$D$18&amp;", "&amp;Anmeldung!$E$18&amp;" / "&amp;Anmeldung!$G$18&amp;" / "&amp;Anmeldung!$J$18,"")</f>
        <v/>
      </c>
      <c r="EO5" t="str">
        <f>IF(AND(11&lt;&gt;29,Anmeldung!$D$18&lt;&gt;"",Anmeldung!$G$18=Anmeldung!$G$36,Anmeldung!$J$18=Anmeldung!$J$36),Anmeldung!$B$18&amp;": "&amp;Anmeldung!$D$18&amp;", "&amp;Anmeldung!$E$18&amp;" / "&amp;Anmeldung!$G$18&amp;" / "&amp;Anmeldung!$J$18,"")</f>
        <v/>
      </c>
      <c r="EP5" t="str">
        <f>IF(AND(11&lt;&gt;29,Anmeldung!$D$18&lt;&gt;"",Anmeldung!$G$18=Anmeldung!$G$36,Anmeldung!$J$18=Anmeldung!$J$36,(Anmeldung!$B$18&amp;": "&amp;Anmeldung!$D$18&amp;", "&amp;Anmeldung!$E$18&amp;" / "&amp;Anmeldung!$G$18&amp;" / "&amp;Anmeldung!$J$18)&lt;&gt;Anmeldung!$P$36),Anmeldung!$B$18&amp;": "&amp;Anmeldung!$D$18&amp;", "&amp;Anmeldung!$E$18&amp;" / "&amp;Anmeldung!$G$18&amp;" / "&amp;Anmeldung!$J$18,"")</f>
        <v/>
      </c>
      <c r="EQ5" t="str">
        <f>IF(AND(11&lt;&gt;29,Anmeldung!$D$18&lt;&gt;"",Anmeldung!$G$18=Anmeldung!$G$36,Anmeldung!$J$18=Anmeldung!$J$36,(Anmeldung!$B$18&amp;": "&amp;Anmeldung!$D$18&amp;", "&amp;Anmeldung!$E$18&amp;" / "&amp;Anmeldung!$G$18&amp;" / "&amp;Anmeldung!$J$18)&lt;&gt;Anmeldung!$O$36),Anmeldung!$B$18&amp;": "&amp;Anmeldung!$D$18&amp;", "&amp;Anmeldung!$E$18&amp;" / "&amp;Anmeldung!$G$18&amp;" / "&amp;Anmeldung!$J$18,"")</f>
        <v/>
      </c>
      <c r="ER5" t="str">
        <f>IF(AND(11&lt;&gt;29,Anmeldung!$D$18&lt;&gt;"",Anmeldung!$G$18&lt;&gt;Anmeldung!$G$36,(Anmeldung!$B$18&amp;": "&amp;Anmeldung!$D$18&amp;", "&amp;Anmeldung!$E$18&amp;" / "&amp;Anmeldung!$G$18&amp;" / "&amp;Anmeldung!$J$18)&lt;&gt;Anmeldung!$S$36),Anmeldung!$B$18&amp;": "&amp;Anmeldung!$D$18&amp;", "&amp;Anmeldung!$E$18&amp;" / "&amp;Anmeldung!$G$18&amp;" / "&amp;Anmeldung!$J$18,"")</f>
        <v/>
      </c>
      <c r="ES5" t="str">
        <f>IF(AND(11&lt;&gt;29,Anmeldung!$D$18&lt;&gt;"",(Anmeldung!$B$18&amp;": "&amp;Anmeldung!$D$18&amp;", "&amp;Anmeldung!$E$18&amp;" / "&amp;Anmeldung!$G$18&amp;" / "&amp;Anmeldung!$J$18)&lt;&gt;Anmeldung!$R$36),Anmeldung!$B$18&amp;": "&amp;Anmeldung!$D$18&amp;", "&amp;Anmeldung!$E$18&amp;" / "&amp;Anmeldung!$G$18&amp;" / "&amp;Anmeldung!$J$18,"")</f>
        <v/>
      </c>
      <c r="ET5" t="str">
        <f>IF(AND(10&lt;&gt;28,Anmeldung!$D$18&lt;&gt;"",Anmeldung!$U$18="Ja",Anmeldung!$G$18=Anmeldung!$G$36,Anmeldung!$J$18=Anmeldung!$J$36),Anmeldung!$B$18&amp;": "&amp;Anmeldung!$D$18&amp;", "&amp;Anmeldung!$E$18&amp;" / "&amp;Anmeldung!$G$18&amp;" / "&amp;Anmeldung!$J$18,"")</f>
        <v/>
      </c>
      <c r="EW5" t="str">
        <f>IF(AND(11&lt;&gt;30,Anmeldung!$D$18&lt;&gt;"",Anmeldung!$G$18=Anmeldung!$G$37,Anmeldung!$J$18=Anmeldung!$J$37),Anmeldung!$B$18&amp;": "&amp;Anmeldung!$D$18&amp;", "&amp;Anmeldung!$E$18&amp;" / "&amp;Anmeldung!$G$18&amp;" / "&amp;Anmeldung!$J$18,"")</f>
        <v/>
      </c>
      <c r="EX5" t="str">
        <f>IF(AND(11&lt;&gt;30,Anmeldung!$D$18&lt;&gt;"",Anmeldung!$G$18=Anmeldung!$G$37,Anmeldung!$J$18=Anmeldung!$J$37,(Anmeldung!$B$18&amp;": "&amp;Anmeldung!$D$18&amp;", "&amp;Anmeldung!$E$18&amp;" / "&amp;Anmeldung!$G$18&amp;" / "&amp;Anmeldung!$J$18)&lt;&gt;Anmeldung!$P$37),Anmeldung!$B$18&amp;": "&amp;Anmeldung!$D$18&amp;", "&amp;Anmeldung!$E$18&amp;" / "&amp;Anmeldung!$G$18&amp;" / "&amp;Anmeldung!$J$18,"")</f>
        <v/>
      </c>
      <c r="EY5" t="str">
        <f>IF(AND(11&lt;&gt;30,Anmeldung!$D$18&lt;&gt;"",Anmeldung!$G$18=Anmeldung!$G$37,Anmeldung!$J$18=Anmeldung!$J$37,(Anmeldung!$B$18&amp;": "&amp;Anmeldung!$D$18&amp;", "&amp;Anmeldung!$E$18&amp;" / "&amp;Anmeldung!$G$18&amp;" / "&amp;Anmeldung!$J$18)&lt;&gt;Anmeldung!$O$37),Anmeldung!$B$18&amp;": "&amp;Anmeldung!$D$18&amp;", "&amp;Anmeldung!$E$18&amp;" / "&amp;Anmeldung!$G$18&amp;" / "&amp;Anmeldung!$J$18,"")</f>
        <v/>
      </c>
      <c r="EZ5" t="str">
        <f>IF(AND(11&lt;&gt;30,Anmeldung!$D$18&lt;&gt;"",Anmeldung!$G$18&lt;&gt;Anmeldung!$G$37,(Anmeldung!$B$18&amp;": "&amp;Anmeldung!$D$18&amp;", "&amp;Anmeldung!$E$18&amp;" / "&amp;Anmeldung!$G$18&amp;" / "&amp;Anmeldung!$J$18)&lt;&gt;Anmeldung!$S$37),Anmeldung!$B$18&amp;": "&amp;Anmeldung!$D$18&amp;", "&amp;Anmeldung!$E$18&amp;" / "&amp;Anmeldung!$G$18&amp;" / "&amp;Anmeldung!$J$18,"")</f>
        <v/>
      </c>
      <c r="FA5" t="str">
        <f>IF(AND(11&lt;&gt;30,Anmeldung!$D$18&lt;&gt;"",(Anmeldung!$B$18&amp;": "&amp;Anmeldung!$D$18&amp;", "&amp;Anmeldung!$E$18&amp;" / "&amp;Anmeldung!$G$18&amp;" / "&amp;Anmeldung!$J$18)&lt;&gt;Anmeldung!$R$37),Anmeldung!$B$18&amp;": "&amp;Anmeldung!$D$18&amp;", "&amp;Anmeldung!$E$18&amp;" / "&amp;Anmeldung!$G$18&amp;" / "&amp;Anmeldung!$J$18,"")</f>
        <v/>
      </c>
      <c r="FB5" t="str">
        <f>IF(AND(10&lt;&gt;29,Anmeldung!$D$18&lt;&gt;"",Anmeldung!$U$18="Ja",Anmeldung!$G$18=Anmeldung!$G$37,Anmeldung!$J$18=Anmeldung!$J$37),Anmeldung!$B$18&amp;": "&amp;Anmeldung!$D$18&amp;", "&amp;Anmeldung!$E$18&amp;" / "&amp;Anmeldung!$G$18&amp;" / "&amp;Anmeldung!$J$18,"")</f>
        <v/>
      </c>
      <c r="FE5" t="str">
        <f>IF(AND(11&lt;&gt;31,Anmeldung!$D$18&lt;&gt;"",Anmeldung!$G$18=Anmeldung!$G$38,Anmeldung!$J$18=Anmeldung!$J$38),Anmeldung!$B$18&amp;": "&amp;Anmeldung!$D$18&amp;", "&amp;Anmeldung!$E$18&amp;" / "&amp;Anmeldung!$G$18&amp;" / "&amp;Anmeldung!$J$18,"")</f>
        <v/>
      </c>
      <c r="FF5" t="str">
        <f>IF(AND(11&lt;&gt;31,Anmeldung!$D$18&lt;&gt;"",Anmeldung!$G$18=Anmeldung!$G$38,Anmeldung!$J$18=Anmeldung!$J$38,(Anmeldung!$B$18&amp;": "&amp;Anmeldung!$D$18&amp;", "&amp;Anmeldung!$E$18&amp;" / "&amp;Anmeldung!$G$18&amp;" / "&amp;Anmeldung!$J$18)&lt;&gt;Anmeldung!$P$38),Anmeldung!$B$18&amp;": "&amp;Anmeldung!$D$18&amp;", "&amp;Anmeldung!$E$18&amp;" / "&amp;Anmeldung!$G$18&amp;" / "&amp;Anmeldung!$J$18,"")</f>
        <v/>
      </c>
      <c r="FG5" t="str">
        <f>IF(AND(11&lt;&gt;31,Anmeldung!$D$18&lt;&gt;"",Anmeldung!$G$18=Anmeldung!$G$38,Anmeldung!$J$18=Anmeldung!$J$38,(Anmeldung!$B$18&amp;": "&amp;Anmeldung!$D$18&amp;", "&amp;Anmeldung!$E$18&amp;" / "&amp;Anmeldung!$G$18&amp;" / "&amp;Anmeldung!$J$18)&lt;&gt;Anmeldung!$O$38),Anmeldung!$B$18&amp;": "&amp;Anmeldung!$D$18&amp;", "&amp;Anmeldung!$E$18&amp;" / "&amp;Anmeldung!$G$18&amp;" / "&amp;Anmeldung!$J$18,"")</f>
        <v/>
      </c>
      <c r="FH5" t="str">
        <f>IF(AND(11&lt;&gt;31,Anmeldung!$D$18&lt;&gt;"",Anmeldung!$G$18&lt;&gt;Anmeldung!$G$38,(Anmeldung!$B$18&amp;": "&amp;Anmeldung!$D$18&amp;", "&amp;Anmeldung!$E$18&amp;" / "&amp;Anmeldung!$G$18&amp;" / "&amp;Anmeldung!$J$18)&lt;&gt;Anmeldung!$S$38),Anmeldung!$B$18&amp;": "&amp;Anmeldung!$D$18&amp;", "&amp;Anmeldung!$E$18&amp;" / "&amp;Anmeldung!$G$18&amp;" / "&amp;Anmeldung!$J$18,"")</f>
        <v/>
      </c>
      <c r="FI5" t="str">
        <f>IF(AND(11&lt;&gt;31,Anmeldung!$D$18&lt;&gt;"",(Anmeldung!$B$18&amp;": "&amp;Anmeldung!$D$18&amp;", "&amp;Anmeldung!$E$18&amp;" / "&amp;Anmeldung!$G$18&amp;" / "&amp;Anmeldung!$J$18)&lt;&gt;Anmeldung!$R$38),Anmeldung!$B$18&amp;": "&amp;Anmeldung!$D$18&amp;", "&amp;Anmeldung!$E$18&amp;" / "&amp;Anmeldung!$G$18&amp;" / "&amp;Anmeldung!$J$18,"")</f>
        <v/>
      </c>
      <c r="FJ5" t="str">
        <f>IF(AND(10&lt;&gt;30,Anmeldung!$D$18&lt;&gt;"",Anmeldung!$U$18="Ja",Anmeldung!$G$18=Anmeldung!$G$38,Anmeldung!$J$18=Anmeldung!$J$38),Anmeldung!$B$18&amp;": "&amp;Anmeldung!$D$18&amp;", "&amp;Anmeldung!$E$18&amp;" / "&amp;Anmeldung!$G$18&amp;" / "&amp;Anmeldung!$J$18,"")</f>
        <v/>
      </c>
      <c r="FM5" t="str">
        <f>IF(AND(11&lt;&gt;32,Anmeldung!$D$18&lt;&gt;"",Anmeldung!$G$18=Anmeldung!$G$39,Anmeldung!$J$18=Anmeldung!$J$39),Anmeldung!$B$18&amp;": "&amp;Anmeldung!$D$18&amp;", "&amp;Anmeldung!$E$18&amp;" / "&amp;Anmeldung!$G$18&amp;" / "&amp;Anmeldung!$J$18,"")</f>
        <v/>
      </c>
      <c r="FN5" t="str">
        <f>IF(AND(11&lt;&gt;32,Anmeldung!$D$18&lt;&gt;"",Anmeldung!$G$18=Anmeldung!$G$39,Anmeldung!$J$18=Anmeldung!$J$39,(Anmeldung!$B$18&amp;": "&amp;Anmeldung!$D$18&amp;", "&amp;Anmeldung!$E$18&amp;" / "&amp;Anmeldung!$G$18&amp;" / "&amp;Anmeldung!$J$18)&lt;&gt;Anmeldung!$P$39),Anmeldung!$B$18&amp;": "&amp;Anmeldung!$D$18&amp;", "&amp;Anmeldung!$E$18&amp;" / "&amp;Anmeldung!$G$18&amp;" / "&amp;Anmeldung!$J$18,"")</f>
        <v/>
      </c>
      <c r="FO5" t="str">
        <f>IF(AND(11&lt;&gt;32,Anmeldung!$D$18&lt;&gt;"",Anmeldung!$G$18=Anmeldung!$G$39,Anmeldung!$J$18=Anmeldung!$J$39,(Anmeldung!$B$18&amp;": "&amp;Anmeldung!$D$18&amp;", "&amp;Anmeldung!$E$18&amp;" / "&amp;Anmeldung!$G$18&amp;" / "&amp;Anmeldung!$J$18)&lt;&gt;Anmeldung!$O$39),Anmeldung!$B$18&amp;": "&amp;Anmeldung!$D$18&amp;", "&amp;Anmeldung!$E$18&amp;" / "&amp;Anmeldung!$G$18&amp;" / "&amp;Anmeldung!$J$18,"")</f>
        <v/>
      </c>
      <c r="FP5" t="str">
        <f>IF(AND(11&lt;&gt;32,Anmeldung!$D$18&lt;&gt;"",Anmeldung!$G$18&lt;&gt;Anmeldung!$G$39,(Anmeldung!$B$18&amp;": "&amp;Anmeldung!$D$18&amp;", "&amp;Anmeldung!$E$18&amp;" / "&amp;Anmeldung!$G$18&amp;" / "&amp;Anmeldung!$J$18)&lt;&gt;Anmeldung!$S$39),Anmeldung!$B$18&amp;": "&amp;Anmeldung!$D$18&amp;", "&amp;Anmeldung!$E$18&amp;" / "&amp;Anmeldung!$G$18&amp;" / "&amp;Anmeldung!$J$18,"")</f>
        <v/>
      </c>
      <c r="FQ5" t="str">
        <f>IF(AND(11&lt;&gt;32,Anmeldung!$D$18&lt;&gt;"",(Anmeldung!$B$18&amp;": "&amp;Anmeldung!$D$18&amp;", "&amp;Anmeldung!$E$18&amp;" / "&amp;Anmeldung!$G$18&amp;" / "&amp;Anmeldung!$J$18)&lt;&gt;Anmeldung!$R$39),Anmeldung!$B$18&amp;": "&amp;Anmeldung!$D$18&amp;", "&amp;Anmeldung!$E$18&amp;" / "&amp;Anmeldung!$G$18&amp;" / "&amp;Anmeldung!$J$18,"")</f>
        <v/>
      </c>
      <c r="FR5" t="str">
        <f>IF(AND(10&lt;&gt;31,Anmeldung!$D$18&lt;&gt;"",Anmeldung!$U$18="Ja",Anmeldung!$G$18=Anmeldung!$G$39,Anmeldung!$J$18=Anmeldung!$J$39),Anmeldung!$B$18&amp;": "&amp;Anmeldung!$D$18&amp;", "&amp;Anmeldung!$E$18&amp;" / "&amp;Anmeldung!$G$18&amp;" / "&amp;Anmeldung!$J$18,"")</f>
        <v/>
      </c>
      <c r="FU5" t="str">
        <f>IF(AND(11&lt;&gt;33,Anmeldung!$D$18&lt;&gt;"",Anmeldung!$G$18=Anmeldung!$G$40,Anmeldung!$J$18=Anmeldung!$J$40),Anmeldung!$B$18&amp;": "&amp;Anmeldung!$D$18&amp;", "&amp;Anmeldung!$E$18&amp;" / "&amp;Anmeldung!$G$18&amp;" / "&amp;Anmeldung!$J$18,"")</f>
        <v/>
      </c>
      <c r="FV5" t="str">
        <f>IF(AND(11&lt;&gt;33,Anmeldung!$D$18&lt;&gt;"",Anmeldung!$G$18=Anmeldung!$G$40,Anmeldung!$J$18=Anmeldung!$J$40,(Anmeldung!$B$18&amp;": "&amp;Anmeldung!$D$18&amp;", "&amp;Anmeldung!$E$18&amp;" / "&amp;Anmeldung!$G$18&amp;" / "&amp;Anmeldung!$J$18)&lt;&gt;Anmeldung!$P$40),Anmeldung!$B$18&amp;": "&amp;Anmeldung!$D$18&amp;", "&amp;Anmeldung!$E$18&amp;" / "&amp;Anmeldung!$G$18&amp;" / "&amp;Anmeldung!$J$18,"")</f>
        <v/>
      </c>
      <c r="FW5" t="str">
        <f>IF(AND(11&lt;&gt;33,Anmeldung!$D$18&lt;&gt;"",Anmeldung!$G$18=Anmeldung!$G$40,Anmeldung!$J$18=Anmeldung!$J$40,(Anmeldung!$B$18&amp;": "&amp;Anmeldung!$D$18&amp;", "&amp;Anmeldung!$E$18&amp;" / "&amp;Anmeldung!$G$18&amp;" / "&amp;Anmeldung!$J$18)&lt;&gt;Anmeldung!$O$40),Anmeldung!$B$18&amp;": "&amp;Anmeldung!$D$18&amp;", "&amp;Anmeldung!$E$18&amp;" / "&amp;Anmeldung!$G$18&amp;" / "&amp;Anmeldung!$J$18,"")</f>
        <v/>
      </c>
      <c r="FX5" t="str">
        <f>IF(AND(11&lt;&gt;33,Anmeldung!$D$18&lt;&gt;"",Anmeldung!$G$18&lt;&gt;Anmeldung!$G$40,(Anmeldung!$B$18&amp;": "&amp;Anmeldung!$D$18&amp;", "&amp;Anmeldung!$E$18&amp;" / "&amp;Anmeldung!$G$18&amp;" / "&amp;Anmeldung!$J$18)&lt;&gt;Anmeldung!$S$40),Anmeldung!$B$18&amp;": "&amp;Anmeldung!$D$18&amp;", "&amp;Anmeldung!$E$18&amp;" / "&amp;Anmeldung!$G$18&amp;" / "&amp;Anmeldung!$J$18,"")</f>
        <v/>
      </c>
      <c r="FY5" t="str">
        <f>IF(AND(11&lt;&gt;33,Anmeldung!$D$18&lt;&gt;"",(Anmeldung!$B$18&amp;": "&amp;Anmeldung!$D$18&amp;", "&amp;Anmeldung!$E$18&amp;" / "&amp;Anmeldung!$G$18&amp;" / "&amp;Anmeldung!$J$18)&lt;&gt;Anmeldung!$R$40),Anmeldung!$B$18&amp;": "&amp;Anmeldung!$D$18&amp;", "&amp;Anmeldung!$E$18&amp;" / "&amp;Anmeldung!$G$18&amp;" / "&amp;Anmeldung!$J$18,"")</f>
        <v/>
      </c>
      <c r="FZ5" t="str">
        <f>IF(AND(10&lt;&gt;32,Anmeldung!$D$18&lt;&gt;"",Anmeldung!$U$18="Ja",Anmeldung!$G$18=Anmeldung!$G$40,Anmeldung!$J$18=Anmeldung!$J$40),Anmeldung!$B$18&amp;": "&amp;Anmeldung!$D$18&amp;", "&amp;Anmeldung!$E$18&amp;" / "&amp;Anmeldung!$G$18&amp;" / "&amp;Anmeldung!$J$18,"")</f>
        <v/>
      </c>
      <c r="GC5" t="str">
        <f>IF(AND(11&lt;&gt;34,Anmeldung!$D$18&lt;&gt;"",Anmeldung!$G$18=Anmeldung!$G$41,Anmeldung!$J$18=Anmeldung!$J$41),Anmeldung!$B$18&amp;": "&amp;Anmeldung!$D$18&amp;", "&amp;Anmeldung!$E$18&amp;" / "&amp;Anmeldung!$G$18&amp;" / "&amp;Anmeldung!$J$18,"")</f>
        <v/>
      </c>
      <c r="GD5" t="str">
        <f>IF(AND(11&lt;&gt;34,Anmeldung!$D$18&lt;&gt;"",Anmeldung!$G$18=Anmeldung!$G$41,Anmeldung!$J$18=Anmeldung!$J$41,(Anmeldung!$B$18&amp;": "&amp;Anmeldung!$D$18&amp;", "&amp;Anmeldung!$E$18&amp;" / "&amp;Anmeldung!$G$18&amp;" / "&amp;Anmeldung!$J$18)&lt;&gt;Anmeldung!$P$41),Anmeldung!$B$18&amp;": "&amp;Anmeldung!$D$18&amp;", "&amp;Anmeldung!$E$18&amp;" / "&amp;Anmeldung!$G$18&amp;" / "&amp;Anmeldung!$J$18,"")</f>
        <v/>
      </c>
      <c r="GE5" t="str">
        <f>IF(AND(11&lt;&gt;34,Anmeldung!$D$18&lt;&gt;"",Anmeldung!$G$18=Anmeldung!$G$41,Anmeldung!$J$18=Anmeldung!$J$41,(Anmeldung!$B$18&amp;": "&amp;Anmeldung!$D$18&amp;", "&amp;Anmeldung!$E$18&amp;" / "&amp;Anmeldung!$G$18&amp;" / "&amp;Anmeldung!$J$18)&lt;&gt;Anmeldung!$O$41),Anmeldung!$B$18&amp;": "&amp;Anmeldung!$D$18&amp;", "&amp;Anmeldung!$E$18&amp;" / "&amp;Anmeldung!$G$18&amp;" / "&amp;Anmeldung!$J$18,"")</f>
        <v/>
      </c>
      <c r="GF5" t="str">
        <f>IF(AND(11&lt;&gt;34,Anmeldung!$D$18&lt;&gt;"",Anmeldung!$G$18&lt;&gt;Anmeldung!$G$41,(Anmeldung!$B$18&amp;": "&amp;Anmeldung!$D$18&amp;", "&amp;Anmeldung!$E$18&amp;" / "&amp;Anmeldung!$G$18&amp;" / "&amp;Anmeldung!$J$18)&lt;&gt;Anmeldung!$S$41),Anmeldung!$B$18&amp;": "&amp;Anmeldung!$D$18&amp;", "&amp;Anmeldung!$E$18&amp;" / "&amp;Anmeldung!$G$18&amp;" / "&amp;Anmeldung!$J$18,"")</f>
        <v/>
      </c>
      <c r="GG5" t="str">
        <f>IF(AND(11&lt;&gt;34,Anmeldung!$D$18&lt;&gt;"",(Anmeldung!$B$18&amp;": "&amp;Anmeldung!$D$18&amp;", "&amp;Anmeldung!$E$18&amp;" / "&amp;Anmeldung!$G$18&amp;" / "&amp;Anmeldung!$J$18)&lt;&gt;Anmeldung!$R$41),Anmeldung!$B$18&amp;": "&amp;Anmeldung!$D$18&amp;", "&amp;Anmeldung!$E$18&amp;" / "&amp;Anmeldung!$G$18&amp;" / "&amp;Anmeldung!$J$18,"")</f>
        <v/>
      </c>
      <c r="GH5" t="str">
        <f>IF(AND(10&lt;&gt;33,Anmeldung!$D$18&lt;&gt;"",Anmeldung!$U$18="Ja",Anmeldung!$G$18=Anmeldung!$G$41,Anmeldung!$J$18=Anmeldung!$J$41),Anmeldung!$B$18&amp;": "&amp;Anmeldung!$D$18&amp;", "&amp;Anmeldung!$E$18&amp;" / "&amp;Anmeldung!$G$18&amp;" / "&amp;Anmeldung!$J$18,"")</f>
        <v/>
      </c>
      <c r="GK5" t="str">
        <f>IF(AND(11&lt;&gt;35,Anmeldung!$D$18&lt;&gt;"",Anmeldung!$G$18=Anmeldung!$G$42,Anmeldung!$J$18=Anmeldung!$J$42),Anmeldung!$B$18&amp;": "&amp;Anmeldung!$D$18&amp;", "&amp;Anmeldung!$E$18&amp;" / "&amp;Anmeldung!$G$18&amp;" / "&amp;Anmeldung!$J$18,"")</f>
        <v/>
      </c>
      <c r="GL5" t="str">
        <f>IF(AND(11&lt;&gt;35,Anmeldung!$D$18&lt;&gt;"",Anmeldung!$G$18=Anmeldung!$G$42,Anmeldung!$J$18=Anmeldung!$J$42,(Anmeldung!$B$18&amp;": "&amp;Anmeldung!$D$18&amp;", "&amp;Anmeldung!$E$18&amp;" / "&amp;Anmeldung!$G$18&amp;" / "&amp;Anmeldung!$J$18)&lt;&gt;Anmeldung!$P$42),Anmeldung!$B$18&amp;": "&amp;Anmeldung!$D$18&amp;", "&amp;Anmeldung!$E$18&amp;" / "&amp;Anmeldung!$G$18&amp;" / "&amp;Anmeldung!$J$18,"")</f>
        <v/>
      </c>
      <c r="GM5" t="str">
        <f>IF(AND(11&lt;&gt;35,Anmeldung!$D$18&lt;&gt;"",Anmeldung!$G$18=Anmeldung!$G$42,Anmeldung!$J$18=Anmeldung!$J$42,(Anmeldung!$B$18&amp;": "&amp;Anmeldung!$D$18&amp;", "&amp;Anmeldung!$E$18&amp;" / "&amp;Anmeldung!$G$18&amp;" / "&amp;Anmeldung!$J$18)&lt;&gt;Anmeldung!$O$42),Anmeldung!$B$18&amp;": "&amp;Anmeldung!$D$18&amp;", "&amp;Anmeldung!$E$18&amp;" / "&amp;Anmeldung!$G$18&amp;" / "&amp;Anmeldung!$J$18,"")</f>
        <v/>
      </c>
      <c r="GN5" t="str">
        <f>IF(AND(11&lt;&gt;35,Anmeldung!$D$18&lt;&gt;"",Anmeldung!$G$18&lt;&gt;Anmeldung!$G$42,(Anmeldung!$B$18&amp;": "&amp;Anmeldung!$D$18&amp;", "&amp;Anmeldung!$E$18&amp;" / "&amp;Anmeldung!$G$18&amp;" / "&amp;Anmeldung!$J$18)&lt;&gt;Anmeldung!$S$42),Anmeldung!$B$18&amp;": "&amp;Anmeldung!$D$18&amp;", "&amp;Anmeldung!$E$18&amp;" / "&amp;Anmeldung!$G$18&amp;" / "&amp;Anmeldung!$J$18,"")</f>
        <v/>
      </c>
      <c r="GO5" t="str">
        <f>IF(AND(11&lt;&gt;35,Anmeldung!$D$18&lt;&gt;"",(Anmeldung!$B$18&amp;": "&amp;Anmeldung!$D$18&amp;", "&amp;Anmeldung!$E$18&amp;" / "&amp;Anmeldung!$G$18&amp;" / "&amp;Anmeldung!$J$18)&lt;&gt;Anmeldung!$R$42),Anmeldung!$B$18&amp;": "&amp;Anmeldung!$D$18&amp;", "&amp;Anmeldung!$E$18&amp;" / "&amp;Anmeldung!$G$18&amp;" / "&amp;Anmeldung!$J$18,"")</f>
        <v/>
      </c>
      <c r="GP5" t="str">
        <f>IF(AND(10&lt;&gt;34,Anmeldung!$D$18&lt;&gt;"",Anmeldung!$U$18="Ja",Anmeldung!$G$18=Anmeldung!$G$42,Anmeldung!$J$18=Anmeldung!$J$42),Anmeldung!$B$18&amp;": "&amp;Anmeldung!$D$18&amp;", "&amp;Anmeldung!$E$18&amp;" / "&amp;Anmeldung!$G$18&amp;" / "&amp;Anmeldung!$J$18,"")</f>
        <v/>
      </c>
      <c r="GS5" t="str">
        <f>IF(AND(11&lt;&gt;36,Anmeldung!$D$18&lt;&gt;"",Anmeldung!$G$18=Anmeldung!$G$43,Anmeldung!$J$18=Anmeldung!$J$43),Anmeldung!$B$18&amp;": "&amp;Anmeldung!$D$18&amp;", "&amp;Anmeldung!$E$18&amp;" / "&amp;Anmeldung!$G$18&amp;" / "&amp;Anmeldung!$J$18,"")</f>
        <v/>
      </c>
      <c r="GT5" t="str">
        <f>IF(AND(11&lt;&gt;36,Anmeldung!$D$18&lt;&gt;"",Anmeldung!$G$18=Anmeldung!$G$43,Anmeldung!$J$18=Anmeldung!$J$43,(Anmeldung!$B$18&amp;": "&amp;Anmeldung!$D$18&amp;", "&amp;Anmeldung!$E$18&amp;" / "&amp;Anmeldung!$G$18&amp;" / "&amp;Anmeldung!$J$18)&lt;&gt;Anmeldung!$P$43),Anmeldung!$B$18&amp;": "&amp;Anmeldung!$D$18&amp;", "&amp;Anmeldung!$E$18&amp;" / "&amp;Anmeldung!$G$18&amp;" / "&amp;Anmeldung!$J$18,"")</f>
        <v/>
      </c>
      <c r="GU5" t="str">
        <f>IF(AND(11&lt;&gt;36,Anmeldung!$D$18&lt;&gt;"",Anmeldung!$G$18=Anmeldung!$G$43,Anmeldung!$J$18=Anmeldung!$J$43,(Anmeldung!$B$18&amp;": "&amp;Anmeldung!$D$18&amp;", "&amp;Anmeldung!$E$18&amp;" / "&amp;Anmeldung!$G$18&amp;" / "&amp;Anmeldung!$J$18)&lt;&gt;Anmeldung!$O$43),Anmeldung!$B$18&amp;": "&amp;Anmeldung!$D$18&amp;", "&amp;Anmeldung!$E$18&amp;" / "&amp;Anmeldung!$G$18&amp;" / "&amp;Anmeldung!$J$18,"")</f>
        <v/>
      </c>
      <c r="GV5" t="str">
        <f>IF(AND(11&lt;&gt;36,Anmeldung!$D$18&lt;&gt;"",Anmeldung!$G$18&lt;&gt;Anmeldung!$G$43,(Anmeldung!$B$18&amp;": "&amp;Anmeldung!$D$18&amp;", "&amp;Anmeldung!$E$18&amp;" / "&amp;Anmeldung!$G$18&amp;" / "&amp;Anmeldung!$J$18)&lt;&gt;Anmeldung!$S$43),Anmeldung!$B$18&amp;": "&amp;Anmeldung!$D$18&amp;", "&amp;Anmeldung!$E$18&amp;" / "&amp;Anmeldung!$G$18&amp;" / "&amp;Anmeldung!$J$18,"")</f>
        <v/>
      </c>
      <c r="GW5" t="str">
        <f>IF(AND(11&lt;&gt;36,Anmeldung!$D$18&lt;&gt;"",(Anmeldung!$B$18&amp;": "&amp;Anmeldung!$D$18&amp;", "&amp;Anmeldung!$E$18&amp;" / "&amp;Anmeldung!$G$18&amp;" / "&amp;Anmeldung!$J$18)&lt;&gt;Anmeldung!$R$43),Anmeldung!$B$18&amp;": "&amp;Anmeldung!$D$18&amp;", "&amp;Anmeldung!$E$18&amp;" / "&amp;Anmeldung!$G$18&amp;" / "&amp;Anmeldung!$J$18,"")</f>
        <v/>
      </c>
      <c r="GX5" t="str">
        <f>IF(AND(10&lt;&gt;35,Anmeldung!$D$18&lt;&gt;"",Anmeldung!$U$18="Ja",Anmeldung!$G$18=Anmeldung!$G$43,Anmeldung!$J$18=Anmeldung!$J$43),Anmeldung!$B$18&amp;": "&amp;Anmeldung!$D$18&amp;", "&amp;Anmeldung!$E$18&amp;" / "&amp;Anmeldung!$G$18&amp;" / "&amp;Anmeldung!$J$18,"")</f>
        <v/>
      </c>
      <c r="HA5" t="str">
        <f>IF(AND(11&lt;&gt;37,Anmeldung!$D$18&lt;&gt;"",Anmeldung!$G$18=Anmeldung!$G$44,Anmeldung!$J$18=Anmeldung!$J$44),Anmeldung!$B$18&amp;": "&amp;Anmeldung!$D$18&amp;", "&amp;Anmeldung!$E$18&amp;" / "&amp;Anmeldung!$G$18&amp;" / "&amp;Anmeldung!$J$18,"")</f>
        <v/>
      </c>
      <c r="HB5" t="str">
        <f>IF(AND(11&lt;&gt;37,Anmeldung!$D$18&lt;&gt;"",Anmeldung!$G$18=Anmeldung!$G$44,Anmeldung!$J$18=Anmeldung!$J$44,(Anmeldung!$B$18&amp;": "&amp;Anmeldung!$D$18&amp;", "&amp;Anmeldung!$E$18&amp;" / "&amp;Anmeldung!$G$18&amp;" / "&amp;Anmeldung!$J$18)&lt;&gt;Anmeldung!$P$44),Anmeldung!$B$18&amp;": "&amp;Anmeldung!$D$18&amp;", "&amp;Anmeldung!$E$18&amp;" / "&amp;Anmeldung!$G$18&amp;" / "&amp;Anmeldung!$J$18,"")</f>
        <v/>
      </c>
      <c r="HC5" t="str">
        <f>IF(AND(11&lt;&gt;37,Anmeldung!$D$18&lt;&gt;"",Anmeldung!$G$18=Anmeldung!$G$44,Anmeldung!$J$18=Anmeldung!$J$44,(Anmeldung!$B$18&amp;": "&amp;Anmeldung!$D$18&amp;", "&amp;Anmeldung!$E$18&amp;" / "&amp;Anmeldung!$G$18&amp;" / "&amp;Anmeldung!$J$18)&lt;&gt;Anmeldung!$O$44),Anmeldung!$B$18&amp;": "&amp;Anmeldung!$D$18&amp;", "&amp;Anmeldung!$E$18&amp;" / "&amp;Anmeldung!$G$18&amp;" / "&amp;Anmeldung!$J$18,"")</f>
        <v/>
      </c>
      <c r="HD5" t="str">
        <f>IF(AND(11&lt;&gt;37,Anmeldung!$D$18&lt;&gt;"",Anmeldung!$G$18&lt;&gt;Anmeldung!$G$44,(Anmeldung!$B$18&amp;": "&amp;Anmeldung!$D$18&amp;", "&amp;Anmeldung!$E$18&amp;" / "&amp;Anmeldung!$G$18&amp;" / "&amp;Anmeldung!$J$18)&lt;&gt;Anmeldung!$S$44),Anmeldung!$B$18&amp;": "&amp;Anmeldung!$D$18&amp;", "&amp;Anmeldung!$E$18&amp;" / "&amp;Anmeldung!$G$18&amp;" / "&amp;Anmeldung!$J$18,"")</f>
        <v/>
      </c>
      <c r="HE5" t="str">
        <f>IF(AND(11&lt;&gt;37,Anmeldung!$D$18&lt;&gt;"",(Anmeldung!$B$18&amp;": "&amp;Anmeldung!$D$18&amp;", "&amp;Anmeldung!$E$18&amp;" / "&amp;Anmeldung!$G$18&amp;" / "&amp;Anmeldung!$J$18)&lt;&gt;Anmeldung!$R$44),Anmeldung!$B$18&amp;": "&amp;Anmeldung!$D$18&amp;", "&amp;Anmeldung!$E$18&amp;" / "&amp;Anmeldung!$G$18&amp;" / "&amp;Anmeldung!$J$18,"")</f>
        <v/>
      </c>
      <c r="HF5" t="str">
        <f>IF(AND(10&lt;&gt;36,Anmeldung!$D$18&lt;&gt;"",Anmeldung!$U$18="Ja",Anmeldung!$G$18=Anmeldung!$G$44,Anmeldung!$J$18=Anmeldung!$J$44),Anmeldung!$B$18&amp;": "&amp;Anmeldung!$D$18&amp;", "&amp;Anmeldung!$E$18&amp;" / "&amp;Anmeldung!$G$18&amp;" / "&amp;Anmeldung!$J$18,"")</f>
        <v/>
      </c>
      <c r="HI5" t="str">
        <f>IF(AND(11&lt;&gt;38,Anmeldung!$D$18&lt;&gt;"",Anmeldung!$G$18=Anmeldung!$G$45,Anmeldung!$J$18=Anmeldung!$J$45),Anmeldung!$B$18&amp;": "&amp;Anmeldung!$D$18&amp;", "&amp;Anmeldung!$E$18&amp;" / "&amp;Anmeldung!$G$18&amp;" / "&amp;Anmeldung!$J$18,"")</f>
        <v/>
      </c>
      <c r="HJ5" t="str">
        <f>IF(AND(11&lt;&gt;38,Anmeldung!$D$18&lt;&gt;"",Anmeldung!$G$18=Anmeldung!$G$45,Anmeldung!$J$18=Anmeldung!$J$45,(Anmeldung!$B$18&amp;": "&amp;Anmeldung!$D$18&amp;", "&amp;Anmeldung!$E$18&amp;" / "&amp;Anmeldung!$G$18&amp;" / "&amp;Anmeldung!$J$18)&lt;&gt;Anmeldung!$P$45),Anmeldung!$B$18&amp;": "&amp;Anmeldung!$D$18&amp;", "&amp;Anmeldung!$E$18&amp;" / "&amp;Anmeldung!$G$18&amp;" / "&amp;Anmeldung!$J$18,"")</f>
        <v/>
      </c>
      <c r="HK5" t="str">
        <f>IF(AND(11&lt;&gt;38,Anmeldung!$D$18&lt;&gt;"",Anmeldung!$G$18=Anmeldung!$G$45,Anmeldung!$J$18=Anmeldung!$J$45,(Anmeldung!$B$18&amp;": "&amp;Anmeldung!$D$18&amp;", "&amp;Anmeldung!$E$18&amp;" / "&amp;Anmeldung!$G$18&amp;" / "&amp;Anmeldung!$J$18)&lt;&gt;Anmeldung!$O$45),Anmeldung!$B$18&amp;": "&amp;Anmeldung!$D$18&amp;", "&amp;Anmeldung!$E$18&amp;" / "&amp;Anmeldung!$G$18&amp;" / "&amp;Anmeldung!$J$18,"")</f>
        <v/>
      </c>
      <c r="HL5" t="str">
        <f>IF(AND(11&lt;&gt;38,Anmeldung!$D$18&lt;&gt;"",Anmeldung!$G$18&lt;&gt;Anmeldung!$G$45,(Anmeldung!$B$18&amp;": "&amp;Anmeldung!$D$18&amp;", "&amp;Anmeldung!$E$18&amp;" / "&amp;Anmeldung!$G$18&amp;" / "&amp;Anmeldung!$J$18)&lt;&gt;Anmeldung!$S$45),Anmeldung!$B$18&amp;": "&amp;Anmeldung!$D$18&amp;", "&amp;Anmeldung!$E$18&amp;" / "&amp;Anmeldung!$G$18&amp;" / "&amp;Anmeldung!$J$18,"")</f>
        <v/>
      </c>
      <c r="HM5" t="str">
        <f>IF(AND(11&lt;&gt;38,Anmeldung!$D$18&lt;&gt;"",(Anmeldung!$B$18&amp;": "&amp;Anmeldung!$D$18&amp;", "&amp;Anmeldung!$E$18&amp;" / "&amp;Anmeldung!$G$18&amp;" / "&amp;Anmeldung!$J$18)&lt;&gt;Anmeldung!$R$45),Anmeldung!$B$18&amp;": "&amp;Anmeldung!$D$18&amp;", "&amp;Anmeldung!$E$18&amp;" / "&amp;Anmeldung!$G$18&amp;" / "&amp;Anmeldung!$J$18,"")</f>
        <v/>
      </c>
      <c r="HN5" t="str">
        <f>IF(AND(10&lt;&gt;37,Anmeldung!$D$18&lt;&gt;"",Anmeldung!$U$18="Ja",Anmeldung!$G$18=Anmeldung!$G$45,Anmeldung!$J$18=Anmeldung!$J$45),Anmeldung!$B$18&amp;": "&amp;Anmeldung!$D$18&amp;", "&amp;Anmeldung!$E$18&amp;" / "&amp;Anmeldung!$G$18&amp;" / "&amp;Anmeldung!$J$18,"")</f>
        <v/>
      </c>
      <c r="HQ5" t="str">
        <f>IF(AND(11&lt;&gt;39,Anmeldung!$D$18&lt;&gt;"",Anmeldung!$G$18=Anmeldung!$G$46,Anmeldung!$J$18=Anmeldung!$J$46),Anmeldung!$B$18&amp;": "&amp;Anmeldung!$D$18&amp;", "&amp;Anmeldung!$E$18&amp;" / "&amp;Anmeldung!$G$18&amp;" / "&amp;Anmeldung!$J$18,"")</f>
        <v/>
      </c>
      <c r="HR5" t="str">
        <f>IF(AND(11&lt;&gt;39,Anmeldung!$D$18&lt;&gt;"",Anmeldung!$G$18=Anmeldung!$G$46,Anmeldung!$J$18=Anmeldung!$J$46,(Anmeldung!$B$18&amp;": "&amp;Anmeldung!$D$18&amp;", "&amp;Anmeldung!$E$18&amp;" / "&amp;Anmeldung!$G$18&amp;" / "&amp;Anmeldung!$J$18)&lt;&gt;Anmeldung!$P$46),Anmeldung!$B$18&amp;": "&amp;Anmeldung!$D$18&amp;", "&amp;Anmeldung!$E$18&amp;" / "&amp;Anmeldung!$G$18&amp;" / "&amp;Anmeldung!$J$18,"")</f>
        <v/>
      </c>
      <c r="HS5" t="str">
        <f>IF(AND(11&lt;&gt;39,Anmeldung!$D$18&lt;&gt;"",Anmeldung!$G$18=Anmeldung!$G$46,Anmeldung!$J$18=Anmeldung!$J$46,(Anmeldung!$B$18&amp;": "&amp;Anmeldung!$D$18&amp;", "&amp;Anmeldung!$E$18&amp;" / "&amp;Anmeldung!$G$18&amp;" / "&amp;Anmeldung!$J$18)&lt;&gt;Anmeldung!$O$46),Anmeldung!$B$18&amp;": "&amp;Anmeldung!$D$18&amp;", "&amp;Anmeldung!$E$18&amp;" / "&amp;Anmeldung!$G$18&amp;" / "&amp;Anmeldung!$J$18,"")</f>
        <v/>
      </c>
      <c r="HT5" t="str">
        <f>IF(AND(11&lt;&gt;39,Anmeldung!$D$18&lt;&gt;"",Anmeldung!$G$18&lt;&gt;Anmeldung!$G$46,(Anmeldung!$B$18&amp;": "&amp;Anmeldung!$D$18&amp;", "&amp;Anmeldung!$E$18&amp;" / "&amp;Anmeldung!$G$18&amp;" / "&amp;Anmeldung!$J$18)&lt;&gt;Anmeldung!$S$46),Anmeldung!$B$18&amp;": "&amp;Anmeldung!$D$18&amp;", "&amp;Anmeldung!$E$18&amp;" / "&amp;Anmeldung!$G$18&amp;" / "&amp;Anmeldung!$J$18,"")</f>
        <v/>
      </c>
      <c r="HU5" t="str">
        <f>IF(AND(11&lt;&gt;39,Anmeldung!$D$18&lt;&gt;"",(Anmeldung!$B$18&amp;": "&amp;Anmeldung!$D$18&amp;", "&amp;Anmeldung!$E$18&amp;" / "&amp;Anmeldung!$G$18&amp;" / "&amp;Anmeldung!$J$18)&lt;&gt;Anmeldung!$R$46),Anmeldung!$B$18&amp;": "&amp;Anmeldung!$D$18&amp;", "&amp;Anmeldung!$E$18&amp;" / "&amp;Anmeldung!$G$18&amp;" / "&amp;Anmeldung!$J$18,"")</f>
        <v/>
      </c>
      <c r="HV5" t="str">
        <f>IF(AND(10&lt;&gt;38,Anmeldung!$D$18&lt;&gt;"",Anmeldung!$U$18="Ja",Anmeldung!$G$18=Anmeldung!$G$46,Anmeldung!$J$18=Anmeldung!$J$46),Anmeldung!$B$18&amp;": "&amp;Anmeldung!$D$18&amp;", "&amp;Anmeldung!$E$18&amp;" / "&amp;Anmeldung!$G$18&amp;" / "&amp;Anmeldung!$J$18,"")</f>
        <v/>
      </c>
      <c r="HY5" t="str">
        <f>IF(AND(11&lt;&gt;40,Anmeldung!$D$18&lt;&gt;"",Anmeldung!$G$18=Anmeldung!$G$47,Anmeldung!$J$18=Anmeldung!$J$47),Anmeldung!$B$18&amp;": "&amp;Anmeldung!$D$18&amp;", "&amp;Anmeldung!$E$18&amp;" / "&amp;Anmeldung!$G$18&amp;" / "&amp;Anmeldung!$J$18,"")</f>
        <v/>
      </c>
      <c r="HZ5" t="str">
        <f>IF(AND(11&lt;&gt;40,Anmeldung!$D$18&lt;&gt;"",Anmeldung!$G$18=Anmeldung!$G$47,Anmeldung!$J$18=Anmeldung!$J$47,(Anmeldung!$B$18&amp;": "&amp;Anmeldung!$D$18&amp;", "&amp;Anmeldung!$E$18&amp;" / "&amp;Anmeldung!$G$18&amp;" / "&amp;Anmeldung!$J$18)&lt;&gt;Anmeldung!$P$47),Anmeldung!$B$18&amp;": "&amp;Anmeldung!$D$18&amp;", "&amp;Anmeldung!$E$18&amp;" / "&amp;Anmeldung!$G$18&amp;" / "&amp;Anmeldung!$J$18,"")</f>
        <v/>
      </c>
      <c r="IA5" t="str">
        <f>IF(AND(11&lt;&gt;40,Anmeldung!$D$18&lt;&gt;"",Anmeldung!$G$18=Anmeldung!$G$47,Anmeldung!$J$18=Anmeldung!$J$47,(Anmeldung!$B$18&amp;": "&amp;Anmeldung!$D$18&amp;", "&amp;Anmeldung!$E$18&amp;" / "&amp;Anmeldung!$G$18&amp;" / "&amp;Anmeldung!$J$18)&lt;&gt;Anmeldung!$O$47),Anmeldung!$B$18&amp;": "&amp;Anmeldung!$D$18&amp;", "&amp;Anmeldung!$E$18&amp;" / "&amp;Anmeldung!$G$18&amp;" / "&amp;Anmeldung!$J$18,"")</f>
        <v/>
      </c>
      <c r="IB5" t="str">
        <f>IF(AND(11&lt;&gt;40,Anmeldung!$D$18&lt;&gt;"",Anmeldung!$G$18&lt;&gt;Anmeldung!$G$47,(Anmeldung!$B$18&amp;": "&amp;Anmeldung!$D$18&amp;", "&amp;Anmeldung!$E$18&amp;" / "&amp;Anmeldung!$G$18&amp;" / "&amp;Anmeldung!$J$18)&lt;&gt;Anmeldung!$S$47),Anmeldung!$B$18&amp;": "&amp;Anmeldung!$D$18&amp;", "&amp;Anmeldung!$E$18&amp;" / "&amp;Anmeldung!$G$18&amp;" / "&amp;Anmeldung!$J$18,"")</f>
        <v/>
      </c>
      <c r="IC5" t="str">
        <f>IF(AND(11&lt;&gt;40,Anmeldung!$D$18&lt;&gt;"",(Anmeldung!$B$18&amp;": "&amp;Anmeldung!$D$18&amp;", "&amp;Anmeldung!$E$18&amp;" / "&amp;Anmeldung!$G$18&amp;" / "&amp;Anmeldung!$J$18)&lt;&gt;Anmeldung!$R$47),Anmeldung!$B$18&amp;": "&amp;Anmeldung!$D$18&amp;", "&amp;Anmeldung!$E$18&amp;" / "&amp;Anmeldung!$G$18&amp;" / "&amp;Anmeldung!$J$18,"")</f>
        <v/>
      </c>
      <c r="ID5" t="str">
        <f>IF(AND(10&lt;&gt;39,Anmeldung!$D$18&lt;&gt;"",Anmeldung!$U$18="Ja",Anmeldung!$G$18=Anmeldung!$G$47,Anmeldung!$J$18=Anmeldung!$J$47),Anmeldung!$B$18&amp;": "&amp;Anmeldung!$D$18&amp;", "&amp;Anmeldung!$E$18&amp;" / "&amp;Anmeldung!$G$18&amp;" / "&amp;Anmeldung!$J$18,"")</f>
        <v/>
      </c>
    </row>
    <row r="6" spans="1:238" ht="14.25" customHeight="1" x14ac:dyDescent="0.3">
      <c r="A6" t="str">
        <f>IF(AND(12&lt;&gt;11,Anmeldung!$D$19&lt;&gt;"",Anmeldung!$G$19=Anmeldung!$G$18,Anmeldung!$J$19=Anmeldung!$J$18),Anmeldung!$B$19&amp;": "&amp;Anmeldung!$D$19&amp;", "&amp;Anmeldung!$E$19&amp;" / "&amp;Anmeldung!$G$19&amp;" / "&amp;Anmeldung!$J$19,"")</f>
        <v/>
      </c>
      <c r="B6" t="str">
        <f>IF(AND(12&lt;&gt;11,Anmeldung!$D$19&lt;&gt;"",Anmeldung!$G$19=Anmeldung!$G$18,Anmeldung!$J$19=Anmeldung!$J$18,(Anmeldung!$B$19&amp;": "&amp;Anmeldung!$D$19&amp;", "&amp;Anmeldung!$E$19&amp;" / "&amp;Anmeldung!$G$19&amp;" / "&amp;Anmeldung!$J$19)&lt;&gt;Anmeldung!$P$18),Anmeldung!$B$19&amp;": "&amp;Anmeldung!$D$19&amp;", "&amp;Anmeldung!$E$19&amp;" / "&amp;Anmeldung!$G$19&amp;" / "&amp;Anmeldung!$J$19,"")</f>
        <v/>
      </c>
      <c r="C6" t="str">
        <f>IF(AND(12&lt;&gt;11,Anmeldung!$D$19&lt;&gt;"",Anmeldung!$G$19=Anmeldung!$G$18,Anmeldung!$J$19=Anmeldung!$J$18,(Anmeldung!$B$19&amp;": "&amp;Anmeldung!$D$19&amp;", "&amp;Anmeldung!$E$19&amp;" / "&amp;Anmeldung!$G$19&amp;" / "&amp;Anmeldung!$J$19)&lt;&gt;Anmeldung!$O$18),Anmeldung!$B$19&amp;": "&amp;Anmeldung!$D$19&amp;", "&amp;Anmeldung!$E$19&amp;" / "&amp;Anmeldung!$G$19&amp;" / "&amp;Anmeldung!$J$19,"")</f>
        <v/>
      </c>
      <c r="D6" t="str">
        <f>IF(AND(12&lt;&gt;11,Anmeldung!$D$19&lt;&gt;"",Anmeldung!$G$19&lt;&gt;Anmeldung!$G$18,(Anmeldung!$B$19&amp;": "&amp;Anmeldung!$D$19&amp;", "&amp;Anmeldung!$E$19&amp;" / "&amp;Anmeldung!$G$19&amp;" / "&amp;Anmeldung!$J$19)&lt;&gt;Anmeldung!$S$18),Anmeldung!$B$19&amp;": "&amp;Anmeldung!$D$19&amp;", "&amp;Anmeldung!$E$19&amp;" / "&amp;Anmeldung!$G$19&amp;" / "&amp;Anmeldung!$J$19,"")</f>
        <v/>
      </c>
      <c r="E6" t="str">
        <f>IF(AND(12&lt;&gt;11,Anmeldung!$D$19&lt;&gt;"",(Anmeldung!$B$19&amp;": "&amp;Anmeldung!$D$19&amp;", "&amp;Anmeldung!$E$19&amp;" / "&amp;Anmeldung!$G$19&amp;" / "&amp;Anmeldung!$J$19)&lt;&gt;Anmeldung!$R$18),Anmeldung!$B$19&amp;": "&amp;Anmeldung!$D$19&amp;", "&amp;Anmeldung!$E$19&amp;" / "&amp;Anmeldung!$G$19&amp;" / "&amp;Anmeldung!$J$19,"")</f>
        <v/>
      </c>
      <c r="F6" t="str">
        <f>IF(AND(11&lt;&gt;10,Anmeldung!$D$19&lt;&gt;"",Anmeldung!$U$19="Ja",Anmeldung!$G$19=Anmeldung!$G$18,Anmeldung!$J$19=Anmeldung!$J$18),Anmeldung!$B$19&amp;": "&amp;Anmeldung!$D$19&amp;", "&amp;Anmeldung!$E$19&amp;" / "&amp;Anmeldung!$G$19&amp;" / "&amp;Anmeldung!$J$19,"")</f>
        <v/>
      </c>
      <c r="I6" t="str">
        <f>IF(AND(12&lt;&gt;12,Anmeldung!$D$19&lt;&gt;"",Anmeldung!$G$19=Anmeldung!$G$19,Anmeldung!$J$19=Anmeldung!$J$19),Anmeldung!$B$19&amp;": "&amp;Anmeldung!$D$19&amp;", "&amp;Anmeldung!$E$19&amp;" / "&amp;Anmeldung!$G$19&amp;" / "&amp;Anmeldung!$J$19,"")</f>
        <v/>
      </c>
      <c r="J6" t="str">
        <f>IF(AND(12&lt;&gt;12,Anmeldung!$D$19&lt;&gt;"",Anmeldung!$G$19=Anmeldung!$G$19,Anmeldung!$J$19=Anmeldung!$J$19,(Anmeldung!$B$19&amp;": "&amp;Anmeldung!$D$19&amp;", "&amp;Anmeldung!$E$19&amp;" / "&amp;Anmeldung!$G$19&amp;" / "&amp;Anmeldung!$J$19)&lt;&gt;Anmeldung!$P$19),Anmeldung!$B$19&amp;": "&amp;Anmeldung!$D$19&amp;", "&amp;Anmeldung!$E$19&amp;" / "&amp;Anmeldung!$G$19&amp;" / "&amp;Anmeldung!$J$19,"")</f>
        <v/>
      </c>
      <c r="K6" t="str">
        <f>IF(AND(12&lt;&gt;12,Anmeldung!$D$19&lt;&gt;"",Anmeldung!$G$19=Anmeldung!$G$19,Anmeldung!$J$19=Anmeldung!$J$19,(Anmeldung!$B$19&amp;": "&amp;Anmeldung!$D$19&amp;", "&amp;Anmeldung!$E$19&amp;" / "&amp;Anmeldung!$G$19&amp;" / "&amp;Anmeldung!$J$19)&lt;&gt;Anmeldung!$O$19),Anmeldung!$B$19&amp;": "&amp;Anmeldung!$D$19&amp;", "&amp;Anmeldung!$E$19&amp;" / "&amp;Anmeldung!$G$19&amp;" / "&amp;Anmeldung!$J$19,"")</f>
        <v/>
      </c>
      <c r="L6" t="str">
        <f>IF(AND(12&lt;&gt;12,Anmeldung!$D$19&lt;&gt;"",Anmeldung!$G$19&lt;&gt;Anmeldung!$G$19,(Anmeldung!$B$19&amp;": "&amp;Anmeldung!$D$19&amp;", "&amp;Anmeldung!$E$19&amp;" / "&amp;Anmeldung!$G$19&amp;" / "&amp;Anmeldung!$J$19)&lt;&gt;Anmeldung!$S$19),Anmeldung!$B$19&amp;": "&amp;Anmeldung!$D$19&amp;", "&amp;Anmeldung!$E$19&amp;" / "&amp;Anmeldung!$G$19&amp;" / "&amp;Anmeldung!$J$19,"")</f>
        <v/>
      </c>
      <c r="M6" t="str">
        <f>IF(AND(12&lt;&gt;12,Anmeldung!$D$19&lt;&gt;"",(Anmeldung!$B$19&amp;": "&amp;Anmeldung!$D$19&amp;", "&amp;Anmeldung!$E$19&amp;" / "&amp;Anmeldung!$G$19&amp;" / "&amp;Anmeldung!$J$19)&lt;&gt;Anmeldung!$R$19),Anmeldung!$B$19&amp;": "&amp;Anmeldung!$D$19&amp;", "&amp;Anmeldung!$E$19&amp;" / "&amp;Anmeldung!$G$19&amp;" / "&amp;Anmeldung!$J$19,"")</f>
        <v/>
      </c>
      <c r="N6" t="str">
        <f>IF(AND(11&lt;&gt;11,Anmeldung!$D$19&lt;&gt;"",Anmeldung!$U$19="Ja",Anmeldung!$G$19=Anmeldung!$G$19,Anmeldung!$J$19=Anmeldung!$J$19),Anmeldung!$B$19&amp;": "&amp;Anmeldung!$D$19&amp;", "&amp;Anmeldung!$E$19&amp;" / "&amp;Anmeldung!$G$19&amp;" / "&amp;Anmeldung!$J$19,"")</f>
        <v/>
      </c>
      <c r="Q6" t="str">
        <f>IF(AND(12&lt;&gt;13,Anmeldung!$D$19&lt;&gt;"",Anmeldung!$G$19=Anmeldung!$G$20,Anmeldung!$J$19=Anmeldung!$J$20),Anmeldung!$B$19&amp;": "&amp;Anmeldung!$D$19&amp;", "&amp;Anmeldung!$E$19&amp;" / "&amp;Anmeldung!$G$19&amp;" / "&amp;Anmeldung!$J$19,"")</f>
        <v/>
      </c>
      <c r="R6" t="str">
        <f>IF(AND(12&lt;&gt;13,Anmeldung!$D$19&lt;&gt;"",Anmeldung!$G$19=Anmeldung!$G$20,Anmeldung!$J$19=Anmeldung!$J$20,(Anmeldung!$B$19&amp;": "&amp;Anmeldung!$D$19&amp;", "&amp;Anmeldung!$E$19&amp;" / "&amp;Anmeldung!$G$19&amp;" / "&amp;Anmeldung!$J$19)&lt;&gt;Anmeldung!$P$20),Anmeldung!$B$19&amp;": "&amp;Anmeldung!$D$19&amp;", "&amp;Anmeldung!$E$19&amp;" / "&amp;Anmeldung!$G$19&amp;" / "&amp;Anmeldung!$J$19,"")</f>
        <v/>
      </c>
      <c r="S6" t="str">
        <f>IF(AND(12&lt;&gt;13,Anmeldung!$D$19&lt;&gt;"",Anmeldung!$G$19=Anmeldung!$G$20,Anmeldung!$J$19=Anmeldung!$J$20,(Anmeldung!$B$19&amp;": "&amp;Anmeldung!$D$19&amp;", "&amp;Anmeldung!$E$19&amp;" / "&amp;Anmeldung!$G$19&amp;" / "&amp;Anmeldung!$J$19)&lt;&gt;Anmeldung!$O$20),Anmeldung!$B$19&amp;": "&amp;Anmeldung!$D$19&amp;", "&amp;Anmeldung!$E$19&amp;" / "&amp;Anmeldung!$G$19&amp;" / "&amp;Anmeldung!$J$19,"")</f>
        <v/>
      </c>
      <c r="T6" t="str">
        <f>IF(AND(12&lt;&gt;13,Anmeldung!$D$19&lt;&gt;"",Anmeldung!$G$19&lt;&gt;Anmeldung!$G$20,(Anmeldung!$B$19&amp;": "&amp;Anmeldung!$D$19&amp;", "&amp;Anmeldung!$E$19&amp;" / "&amp;Anmeldung!$G$19&amp;" / "&amp;Anmeldung!$J$19)&lt;&gt;Anmeldung!$S$20),Anmeldung!$B$19&amp;": "&amp;Anmeldung!$D$19&amp;", "&amp;Anmeldung!$E$19&amp;" / "&amp;Anmeldung!$G$19&amp;" / "&amp;Anmeldung!$J$19,"")</f>
        <v/>
      </c>
      <c r="U6" t="str">
        <f>IF(AND(12&lt;&gt;13,Anmeldung!$D$19&lt;&gt;"",(Anmeldung!$B$19&amp;": "&amp;Anmeldung!$D$19&amp;", "&amp;Anmeldung!$E$19&amp;" / "&amp;Anmeldung!$G$19&amp;" / "&amp;Anmeldung!$J$19)&lt;&gt;Anmeldung!$R$20),Anmeldung!$B$19&amp;": "&amp;Anmeldung!$D$19&amp;", "&amp;Anmeldung!$E$19&amp;" / "&amp;Anmeldung!$G$19&amp;" / "&amp;Anmeldung!$J$19,"")</f>
        <v/>
      </c>
      <c r="V6" t="str">
        <f>IF(AND(11&lt;&gt;12,Anmeldung!$D$19&lt;&gt;"",Anmeldung!$U$19="Ja",Anmeldung!$G$19=Anmeldung!$G$20,Anmeldung!$J$19=Anmeldung!$J$20),Anmeldung!$B$19&amp;": "&amp;Anmeldung!$D$19&amp;", "&amp;Anmeldung!$E$19&amp;" / "&amp;Anmeldung!$G$19&amp;" / "&amp;Anmeldung!$J$19,"")</f>
        <v/>
      </c>
      <c r="Y6" t="str">
        <f>IF(AND(12&lt;&gt;14,Anmeldung!$D$19&lt;&gt;"",Anmeldung!$G$19=Anmeldung!$G$21,Anmeldung!$J$19=Anmeldung!$J$21),Anmeldung!$B$19&amp;": "&amp;Anmeldung!$D$19&amp;", "&amp;Anmeldung!$E$19&amp;" / "&amp;Anmeldung!$G$19&amp;" / "&amp;Anmeldung!$J$19,"")</f>
        <v/>
      </c>
      <c r="Z6" t="str">
        <f>IF(AND(12&lt;&gt;14,Anmeldung!$D$19&lt;&gt;"",Anmeldung!$G$19=Anmeldung!$G$21,Anmeldung!$J$19=Anmeldung!$J$21,(Anmeldung!$B$19&amp;": "&amp;Anmeldung!$D$19&amp;", "&amp;Anmeldung!$E$19&amp;" / "&amp;Anmeldung!$G$19&amp;" / "&amp;Anmeldung!$J$19)&lt;&gt;Anmeldung!$P$21),Anmeldung!$B$19&amp;": "&amp;Anmeldung!$D$19&amp;", "&amp;Anmeldung!$E$19&amp;" / "&amp;Anmeldung!$G$19&amp;" / "&amp;Anmeldung!$J$19,"")</f>
        <v/>
      </c>
      <c r="AA6" t="str">
        <f>IF(AND(12&lt;&gt;14,Anmeldung!$D$19&lt;&gt;"",Anmeldung!$G$19=Anmeldung!$G$21,Anmeldung!$J$19=Anmeldung!$J$21,(Anmeldung!$B$19&amp;": "&amp;Anmeldung!$D$19&amp;", "&amp;Anmeldung!$E$19&amp;" / "&amp;Anmeldung!$G$19&amp;" / "&amp;Anmeldung!$J$19)&lt;&gt;Anmeldung!$O$21),Anmeldung!$B$19&amp;": "&amp;Anmeldung!$D$19&amp;", "&amp;Anmeldung!$E$19&amp;" / "&amp;Anmeldung!$G$19&amp;" / "&amp;Anmeldung!$J$19,"")</f>
        <v/>
      </c>
      <c r="AB6" t="str">
        <f>IF(AND(12&lt;&gt;14,Anmeldung!$D$19&lt;&gt;"",Anmeldung!$G$19&lt;&gt;Anmeldung!$G$21,(Anmeldung!$B$19&amp;": "&amp;Anmeldung!$D$19&amp;", "&amp;Anmeldung!$E$19&amp;" / "&amp;Anmeldung!$G$19&amp;" / "&amp;Anmeldung!$J$19)&lt;&gt;Anmeldung!$S$21),Anmeldung!$B$19&amp;": "&amp;Anmeldung!$D$19&amp;", "&amp;Anmeldung!$E$19&amp;" / "&amp;Anmeldung!$G$19&amp;" / "&amp;Anmeldung!$J$19,"")</f>
        <v/>
      </c>
      <c r="AC6" t="str">
        <f>IF(AND(12&lt;&gt;14,Anmeldung!$D$19&lt;&gt;"",(Anmeldung!$B$19&amp;": "&amp;Anmeldung!$D$19&amp;", "&amp;Anmeldung!$E$19&amp;" / "&amp;Anmeldung!$G$19&amp;" / "&amp;Anmeldung!$J$19)&lt;&gt;Anmeldung!$R$21),Anmeldung!$B$19&amp;": "&amp;Anmeldung!$D$19&amp;", "&amp;Anmeldung!$E$19&amp;" / "&amp;Anmeldung!$G$19&amp;" / "&amp;Anmeldung!$J$19,"")</f>
        <v/>
      </c>
      <c r="AD6" t="str">
        <f>IF(AND(11&lt;&gt;13,Anmeldung!$D$19&lt;&gt;"",Anmeldung!$U$19="Ja",Anmeldung!$G$19=Anmeldung!$G$21,Anmeldung!$J$19=Anmeldung!$J$21),Anmeldung!$B$19&amp;": "&amp;Anmeldung!$D$19&amp;", "&amp;Anmeldung!$E$19&amp;" / "&amp;Anmeldung!$G$19&amp;" / "&amp;Anmeldung!$J$19,"")</f>
        <v/>
      </c>
      <c r="AG6" t="str">
        <f>IF(AND(12&lt;&gt;15,Anmeldung!$D$19&lt;&gt;"",Anmeldung!$G$19=Anmeldung!$G$22,Anmeldung!$J$19=Anmeldung!$J$22),Anmeldung!$B$19&amp;": "&amp;Anmeldung!$D$19&amp;", "&amp;Anmeldung!$E$19&amp;" / "&amp;Anmeldung!$G$19&amp;" / "&amp;Anmeldung!$J$19,"")</f>
        <v/>
      </c>
      <c r="AH6" t="str">
        <f>IF(AND(12&lt;&gt;15,Anmeldung!$D$19&lt;&gt;"",Anmeldung!$G$19=Anmeldung!$G$22,Anmeldung!$J$19=Anmeldung!$J$22,(Anmeldung!$B$19&amp;": "&amp;Anmeldung!$D$19&amp;", "&amp;Anmeldung!$E$19&amp;" / "&amp;Anmeldung!$G$19&amp;" / "&amp;Anmeldung!$J$19)&lt;&gt;Anmeldung!$P$22),Anmeldung!$B$19&amp;": "&amp;Anmeldung!$D$19&amp;", "&amp;Anmeldung!$E$19&amp;" / "&amp;Anmeldung!$G$19&amp;" / "&amp;Anmeldung!$J$19,"")</f>
        <v/>
      </c>
      <c r="AI6" t="str">
        <f>IF(AND(12&lt;&gt;15,Anmeldung!$D$19&lt;&gt;"",Anmeldung!$G$19=Anmeldung!$G$22,Anmeldung!$J$19=Anmeldung!$J$22,(Anmeldung!$B$19&amp;": "&amp;Anmeldung!$D$19&amp;", "&amp;Anmeldung!$E$19&amp;" / "&amp;Anmeldung!$G$19&amp;" / "&amp;Anmeldung!$J$19)&lt;&gt;Anmeldung!$O$22),Anmeldung!$B$19&amp;": "&amp;Anmeldung!$D$19&amp;", "&amp;Anmeldung!$E$19&amp;" / "&amp;Anmeldung!$G$19&amp;" / "&amp;Anmeldung!$J$19,"")</f>
        <v/>
      </c>
      <c r="AJ6" t="str">
        <f>IF(AND(12&lt;&gt;15,Anmeldung!$D$19&lt;&gt;"",Anmeldung!$G$19&lt;&gt;Anmeldung!$G$22,(Anmeldung!$B$19&amp;": "&amp;Anmeldung!$D$19&amp;", "&amp;Anmeldung!$E$19&amp;" / "&amp;Anmeldung!$G$19&amp;" / "&amp;Anmeldung!$J$19)&lt;&gt;Anmeldung!$S$22),Anmeldung!$B$19&amp;": "&amp;Anmeldung!$D$19&amp;", "&amp;Anmeldung!$E$19&amp;" / "&amp;Anmeldung!$G$19&amp;" / "&amp;Anmeldung!$J$19,"")</f>
        <v/>
      </c>
      <c r="AK6" t="str">
        <f>IF(AND(12&lt;&gt;15,Anmeldung!$D$19&lt;&gt;"",(Anmeldung!$B$19&amp;": "&amp;Anmeldung!$D$19&amp;", "&amp;Anmeldung!$E$19&amp;" / "&amp;Anmeldung!$G$19&amp;" / "&amp;Anmeldung!$J$19)&lt;&gt;Anmeldung!$R$22),Anmeldung!$B$19&amp;": "&amp;Anmeldung!$D$19&amp;", "&amp;Anmeldung!$E$19&amp;" / "&amp;Anmeldung!$G$19&amp;" / "&amp;Anmeldung!$J$19,"")</f>
        <v/>
      </c>
      <c r="AL6" t="str">
        <f>IF(AND(11&lt;&gt;14,Anmeldung!$D$19&lt;&gt;"",Anmeldung!$U$19="Ja",Anmeldung!$G$19=Anmeldung!$G$22,Anmeldung!$J$19=Anmeldung!$J$22),Anmeldung!$B$19&amp;": "&amp;Anmeldung!$D$19&amp;", "&amp;Anmeldung!$E$19&amp;" / "&amp;Anmeldung!$G$19&amp;" / "&amp;Anmeldung!$J$19,"")</f>
        <v/>
      </c>
      <c r="AO6" t="str">
        <f>IF(AND(12&lt;&gt;16,Anmeldung!$D$19&lt;&gt;"",Anmeldung!$G$19=Anmeldung!$G$23,Anmeldung!$J$19=Anmeldung!$J$23),Anmeldung!$B$19&amp;": "&amp;Anmeldung!$D$19&amp;", "&amp;Anmeldung!$E$19&amp;" / "&amp;Anmeldung!$G$19&amp;" / "&amp;Anmeldung!$J$19,"")</f>
        <v/>
      </c>
      <c r="AP6" t="str">
        <f>IF(AND(12&lt;&gt;16,Anmeldung!$D$19&lt;&gt;"",Anmeldung!$G$19=Anmeldung!$G$23,Anmeldung!$J$19=Anmeldung!$J$23,(Anmeldung!$B$19&amp;": "&amp;Anmeldung!$D$19&amp;", "&amp;Anmeldung!$E$19&amp;" / "&amp;Anmeldung!$G$19&amp;" / "&amp;Anmeldung!$J$19)&lt;&gt;Anmeldung!$P$23),Anmeldung!$B$19&amp;": "&amp;Anmeldung!$D$19&amp;", "&amp;Anmeldung!$E$19&amp;" / "&amp;Anmeldung!$G$19&amp;" / "&amp;Anmeldung!$J$19,"")</f>
        <v/>
      </c>
      <c r="AQ6" t="str">
        <f>IF(AND(12&lt;&gt;16,Anmeldung!$D$19&lt;&gt;"",Anmeldung!$G$19=Anmeldung!$G$23,Anmeldung!$J$19=Anmeldung!$J$23,(Anmeldung!$B$19&amp;": "&amp;Anmeldung!$D$19&amp;", "&amp;Anmeldung!$E$19&amp;" / "&amp;Anmeldung!$G$19&amp;" / "&amp;Anmeldung!$J$19)&lt;&gt;Anmeldung!$O$23),Anmeldung!$B$19&amp;": "&amp;Anmeldung!$D$19&amp;", "&amp;Anmeldung!$E$19&amp;" / "&amp;Anmeldung!$G$19&amp;" / "&amp;Anmeldung!$J$19,"")</f>
        <v/>
      </c>
      <c r="AR6" t="str">
        <f>IF(AND(12&lt;&gt;16,Anmeldung!$D$19&lt;&gt;"",Anmeldung!$G$19&lt;&gt;Anmeldung!$G$23,(Anmeldung!$B$19&amp;": "&amp;Anmeldung!$D$19&amp;", "&amp;Anmeldung!$E$19&amp;" / "&amp;Anmeldung!$G$19&amp;" / "&amp;Anmeldung!$J$19)&lt;&gt;Anmeldung!$S$23),Anmeldung!$B$19&amp;": "&amp;Anmeldung!$D$19&amp;", "&amp;Anmeldung!$E$19&amp;" / "&amp;Anmeldung!$G$19&amp;" / "&amp;Anmeldung!$J$19,"")</f>
        <v/>
      </c>
      <c r="AS6" t="str">
        <f>IF(AND(12&lt;&gt;16,Anmeldung!$D$19&lt;&gt;"",(Anmeldung!$B$19&amp;": "&amp;Anmeldung!$D$19&amp;", "&amp;Anmeldung!$E$19&amp;" / "&amp;Anmeldung!$G$19&amp;" / "&amp;Anmeldung!$J$19)&lt;&gt;Anmeldung!$R$23),Anmeldung!$B$19&amp;": "&amp;Anmeldung!$D$19&amp;", "&amp;Anmeldung!$E$19&amp;" / "&amp;Anmeldung!$G$19&amp;" / "&amp;Anmeldung!$J$19,"")</f>
        <v/>
      </c>
      <c r="AT6" t="str">
        <f>IF(AND(11&lt;&gt;15,Anmeldung!$D$19&lt;&gt;"",Anmeldung!$U$19="Ja",Anmeldung!$G$19=Anmeldung!$G$23,Anmeldung!$J$19=Anmeldung!$J$23),Anmeldung!$B$19&amp;": "&amp;Anmeldung!$D$19&amp;", "&amp;Anmeldung!$E$19&amp;" / "&amp;Anmeldung!$G$19&amp;" / "&amp;Anmeldung!$J$19,"")</f>
        <v/>
      </c>
      <c r="AW6" t="str">
        <f>IF(AND(12&lt;&gt;17,Anmeldung!$D$19&lt;&gt;"",Anmeldung!$G$19=Anmeldung!$G$24,Anmeldung!$J$19=Anmeldung!$J$24),Anmeldung!$B$19&amp;": "&amp;Anmeldung!$D$19&amp;", "&amp;Anmeldung!$E$19&amp;" / "&amp;Anmeldung!$G$19&amp;" / "&amp;Anmeldung!$J$19,"")</f>
        <v/>
      </c>
      <c r="AX6" t="str">
        <f>IF(AND(12&lt;&gt;17,Anmeldung!$D$19&lt;&gt;"",Anmeldung!$G$19=Anmeldung!$G$24,Anmeldung!$J$19=Anmeldung!$J$24,(Anmeldung!$B$19&amp;": "&amp;Anmeldung!$D$19&amp;", "&amp;Anmeldung!$E$19&amp;" / "&amp;Anmeldung!$G$19&amp;" / "&amp;Anmeldung!$J$19)&lt;&gt;Anmeldung!$P$24),Anmeldung!$B$19&amp;": "&amp;Anmeldung!$D$19&amp;", "&amp;Anmeldung!$E$19&amp;" / "&amp;Anmeldung!$G$19&amp;" / "&amp;Anmeldung!$J$19,"")</f>
        <v/>
      </c>
      <c r="AY6" t="str">
        <f>IF(AND(12&lt;&gt;17,Anmeldung!$D$19&lt;&gt;"",Anmeldung!$G$19=Anmeldung!$G$24,Anmeldung!$J$19=Anmeldung!$J$24,(Anmeldung!$B$19&amp;": "&amp;Anmeldung!$D$19&amp;", "&amp;Anmeldung!$E$19&amp;" / "&amp;Anmeldung!$G$19&amp;" / "&amp;Anmeldung!$J$19)&lt;&gt;Anmeldung!$O$24),Anmeldung!$B$19&amp;": "&amp;Anmeldung!$D$19&amp;", "&amp;Anmeldung!$E$19&amp;" / "&amp;Anmeldung!$G$19&amp;" / "&amp;Anmeldung!$J$19,"")</f>
        <v/>
      </c>
      <c r="AZ6" t="str">
        <f>IF(AND(12&lt;&gt;17,Anmeldung!$D$19&lt;&gt;"",Anmeldung!$G$19&lt;&gt;Anmeldung!$G$24,(Anmeldung!$B$19&amp;": "&amp;Anmeldung!$D$19&amp;", "&amp;Anmeldung!$E$19&amp;" / "&amp;Anmeldung!$G$19&amp;" / "&amp;Anmeldung!$J$19)&lt;&gt;Anmeldung!$S$24),Anmeldung!$B$19&amp;": "&amp;Anmeldung!$D$19&amp;", "&amp;Anmeldung!$E$19&amp;" / "&amp;Anmeldung!$G$19&amp;" / "&amp;Anmeldung!$J$19,"")</f>
        <v/>
      </c>
      <c r="BA6" t="str">
        <f>IF(AND(12&lt;&gt;17,Anmeldung!$D$19&lt;&gt;"",(Anmeldung!$B$19&amp;": "&amp;Anmeldung!$D$19&amp;", "&amp;Anmeldung!$E$19&amp;" / "&amp;Anmeldung!$G$19&amp;" / "&amp;Anmeldung!$J$19)&lt;&gt;Anmeldung!$R$24),Anmeldung!$B$19&amp;": "&amp;Anmeldung!$D$19&amp;", "&amp;Anmeldung!$E$19&amp;" / "&amp;Anmeldung!$G$19&amp;" / "&amp;Anmeldung!$J$19,"")</f>
        <v/>
      </c>
      <c r="BB6" t="str">
        <f>IF(AND(11&lt;&gt;16,Anmeldung!$D$19&lt;&gt;"",Anmeldung!$U$19="Ja",Anmeldung!$G$19=Anmeldung!$G$24,Anmeldung!$J$19=Anmeldung!$J$24),Anmeldung!$B$19&amp;": "&amp;Anmeldung!$D$19&amp;", "&amp;Anmeldung!$E$19&amp;" / "&amp;Anmeldung!$G$19&amp;" / "&amp;Anmeldung!$J$19,"")</f>
        <v/>
      </c>
      <c r="BE6" t="str">
        <f>IF(AND(12&lt;&gt;18,Anmeldung!$D$19&lt;&gt;"",Anmeldung!$G$19=Anmeldung!$G$25,Anmeldung!$J$19=Anmeldung!$J$25),Anmeldung!$B$19&amp;": "&amp;Anmeldung!$D$19&amp;", "&amp;Anmeldung!$E$19&amp;" / "&amp;Anmeldung!$G$19&amp;" / "&amp;Anmeldung!$J$19,"")</f>
        <v/>
      </c>
      <c r="BF6" t="str">
        <f>IF(AND(12&lt;&gt;18,Anmeldung!$D$19&lt;&gt;"",Anmeldung!$G$19=Anmeldung!$G$25,Anmeldung!$J$19=Anmeldung!$J$25,(Anmeldung!$B$19&amp;": "&amp;Anmeldung!$D$19&amp;", "&amp;Anmeldung!$E$19&amp;" / "&amp;Anmeldung!$G$19&amp;" / "&amp;Anmeldung!$J$19)&lt;&gt;Anmeldung!$P$25),Anmeldung!$B$19&amp;": "&amp;Anmeldung!$D$19&amp;", "&amp;Anmeldung!$E$19&amp;" / "&amp;Anmeldung!$G$19&amp;" / "&amp;Anmeldung!$J$19,"")</f>
        <v/>
      </c>
      <c r="BG6" t="str">
        <f>IF(AND(12&lt;&gt;18,Anmeldung!$D$19&lt;&gt;"",Anmeldung!$G$19=Anmeldung!$G$25,Anmeldung!$J$19=Anmeldung!$J$25,(Anmeldung!$B$19&amp;": "&amp;Anmeldung!$D$19&amp;", "&amp;Anmeldung!$E$19&amp;" / "&amp;Anmeldung!$G$19&amp;" / "&amp;Anmeldung!$J$19)&lt;&gt;Anmeldung!$O$25),Anmeldung!$B$19&amp;": "&amp;Anmeldung!$D$19&amp;", "&amp;Anmeldung!$E$19&amp;" / "&amp;Anmeldung!$G$19&amp;" / "&amp;Anmeldung!$J$19,"")</f>
        <v/>
      </c>
      <c r="BH6" t="str">
        <f>IF(AND(12&lt;&gt;18,Anmeldung!$D$19&lt;&gt;"",Anmeldung!$G$19&lt;&gt;Anmeldung!$G$25,(Anmeldung!$B$19&amp;": "&amp;Anmeldung!$D$19&amp;", "&amp;Anmeldung!$E$19&amp;" / "&amp;Anmeldung!$G$19&amp;" / "&amp;Anmeldung!$J$19)&lt;&gt;Anmeldung!$S$25),Anmeldung!$B$19&amp;": "&amp;Anmeldung!$D$19&amp;", "&amp;Anmeldung!$E$19&amp;" / "&amp;Anmeldung!$G$19&amp;" / "&amp;Anmeldung!$J$19,"")</f>
        <v/>
      </c>
      <c r="BI6" t="str">
        <f>IF(AND(12&lt;&gt;18,Anmeldung!$D$19&lt;&gt;"",(Anmeldung!$B$19&amp;": "&amp;Anmeldung!$D$19&amp;", "&amp;Anmeldung!$E$19&amp;" / "&amp;Anmeldung!$G$19&amp;" / "&amp;Anmeldung!$J$19)&lt;&gt;Anmeldung!$R$25),Anmeldung!$B$19&amp;": "&amp;Anmeldung!$D$19&amp;", "&amp;Anmeldung!$E$19&amp;" / "&amp;Anmeldung!$G$19&amp;" / "&amp;Anmeldung!$J$19,"")</f>
        <v/>
      </c>
      <c r="BJ6" t="str">
        <f>IF(AND(11&lt;&gt;17,Anmeldung!$D$19&lt;&gt;"",Anmeldung!$U$19="Ja",Anmeldung!$G$19=Anmeldung!$G$25,Anmeldung!$J$19=Anmeldung!$J$25),Anmeldung!$B$19&amp;": "&amp;Anmeldung!$D$19&amp;", "&amp;Anmeldung!$E$19&amp;" / "&amp;Anmeldung!$G$19&amp;" / "&amp;Anmeldung!$J$19,"")</f>
        <v/>
      </c>
      <c r="BM6" t="str">
        <f>IF(AND(12&lt;&gt;19,Anmeldung!$D$19&lt;&gt;"",Anmeldung!$G$19=Anmeldung!$G$26,Anmeldung!$J$19=Anmeldung!$J$26),Anmeldung!$B$19&amp;": "&amp;Anmeldung!$D$19&amp;", "&amp;Anmeldung!$E$19&amp;" / "&amp;Anmeldung!$G$19&amp;" / "&amp;Anmeldung!$J$19,"")</f>
        <v/>
      </c>
      <c r="BN6" t="str">
        <f>IF(AND(12&lt;&gt;19,Anmeldung!$D$19&lt;&gt;"",Anmeldung!$G$19=Anmeldung!$G$26,Anmeldung!$J$19=Anmeldung!$J$26,(Anmeldung!$B$19&amp;": "&amp;Anmeldung!$D$19&amp;", "&amp;Anmeldung!$E$19&amp;" / "&amp;Anmeldung!$G$19&amp;" / "&amp;Anmeldung!$J$19)&lt;&gt;Anmeldung!$P$26),Anmeldung!$B$19&amp;": "&amp;Anmeldung!$D$19&amp;", "&amp;Anmeldung!$E$19&amp;" / "&amp;Anmeldung!$G$19&amp;" / "&amp;Anmeldung!$J$19,"")</f>
        <v/>
      </c>
      <c r="BO6" t="str">
        <f>IF(AND(12&lt;&gt;19,Anmeldung!$D$19&lt;&gt;"",Anmeldung!$G$19=Anmeldung!$G$26,Anmeldung!$J$19=Anmeldung!$J$26,(Anmeldung!$B$19&amp;": "&amp;Anmeldung!$D$19&amp;", "&amp;Anmeldung!$E$19&amp;" / "&amp;Anmeldung!$G$19&amp;" / "&amp;Anmeldung!$J$19)&lt;&gt;Anmeldung!$O$26),Anmeldung!$B$19&amp;": "&amp;Anmeldung!$D$19&amp;", "&amp;Anmeldung!$E$19&amp;" / "&amp;Anmeldung!$G$19&amp;" / "&amp;Anmeldung!$J$19,"")</f>
        <v/>
      </c>
      <c r="BP6" t="str">
        <f>IF(AND(12&lt;&gt;19,Anmeldung!$D$19&lt;&gt;"",Anmeldung!$G$19&lt;&gt;Anmeldung!$G$26,(Anmeldung!$B$19&amp;": "&amp;Anmeldung!$D$19&amp;", "&amp;Anmeldung!$E$19&amp;" / "&amp;Anmeldung!$G$19&amp;" / "&amp;Anmeldung!$J$19)&lt;&gt;Anmeldung!$S$26),Anmeldung!$B$19&amp;": "&amp;Anmeldung!$D$19&amp;", "&amp;Anmeldung!$E$19&amp;" / "&amp;Anmeldung!$G$19&amp;" / "&amp;Anmeldung!$J$19,"")</f>
        <v/>
      </c>
      <c r="BQ6" t="str">
        <f>IF(AND(12&lt;&gt;19,Anmeldung!$D$19&lt;&gt;"",(Anmeldung!$B$19&amp;": "&amp;Anmeldung!$D$19&amp;", "&amp;Anmeldung!$E$19&amp;" / "&amp;Anmeldung!$G$19&amp;" / "&amp;Anmeldung!$J$19)&lt;&gt;Anmeldung!$R$26),Anmeldung!$B$19&amp;": "&amp;Anmeldung!$D$19&amp;", "&amp;Anmeldung!$E$19&amp;" / "&amp;Anmeldung!$G$19&amp;" / "&amp;Anmeldung!$J$19,"")</f>
        <v/>
      </c>
      <c r="BR6" t="str">
        <f>IF(AND(11&lt;&gt;18,Anmeldung!$D$19&lt;&gt;"",Anmeldung!$U$19="Ja",Anmeldung!$G$19=Anmeldung!$G$26,Anmeldung!$J$19=Anmeldung!$J$26),Anmeldung!$B$19&amp;": "&amp;Anmeldung!$D$19&amp;", "&amp;Anmeldung!$E$19&amp;" / "&amp;Anmeldung!$G$19&amp;" / "&amp;Anmeldung!$J$19,"")</f>
        <v/>
      </c>
      <c r="BU6" t="str">
        <f>IF(AND(12&lt;&gt;20,Anmeldung!$D$19&lt;&gt;"",Anmeldung!$G$19=Anmeldung!$G$27,Anmeldung!$J$19=Anmeldung!$J$27),Anmeldung!$B$19&amp;": "&amp;Anmeldung!$D$19&amp;", "&amp;Anmeldung!$E$19&amp;" / "&amp;Anmeldung!$G$19&amp;" / "&amp;Anmeldung!$J$19,"")</f>
        <v/>
      </c>
      <c r="BV6" t="str">
        <f>IF(AND(12&lt;&gt;20,Anmeldung!$D$19&lt;&gt;"",Anmeldung!$G$19=Anmeldung!$G$27,Anmeldung!$J$19=Anmeldung!$J$27,(Anmeldung!$B$19&amp;": "&amp;Anmeldung!$D$19&amp;", "&amp;Anmeldung!$E$19&amp;" / "&amp;Anmeldung!$G$19&amp;" / "&amp;Anmeldung!$J$19)&lt;&gt;Anmeldung!$P$27),Anmeldung!$B$19&amp;": "&amp;Anmeldung!$D$19&amp;", "&amp;Anmeldung!$E$19&amp;" / "&amp;Anmeldung!$G$19&amp;" / "&amp;Anmeldung!$J$19,"")</f>
        <v/>
      </c>
      <c r="BW6" t="str">
        <f>IF(AND(12&lt;&gt;20,Anmeldung!$D$19&lt;&gt;"",Anmeldung!$G$19=Anmeldung!$G$27,Anmeldung!$J$19=Anmeldung!$J$27,(Anmeldung!$B$19&amp;": "&amp;Anmeldung!$D$19&amp;", "&amp;Anmeldung!$E$19&amp;" / "&amp;Anmeldung!$G$19&amp;" / "&amp;Anmeldung!$J$19)&lt;&gt;Anmeldung!$O$27),Anmeldung!$B$19&amp;": "&amp;Anmeldung!$D$19&amp;", "&amp;Anmeldung!$E$19&amp;" / "&amp;Anmeldung!$G$19&amp;" / "&amp;Anmeldung!$J$19,"")</f>
        <v/>
      </c>
      <c r="BX6" t="str">
        <f>IF(AND(12&lt;&gt;20,Anmeldung!$D$19&lt;&gt;"",Anmeldung!$G$19&lt;&gt;Anmeldung!$G$27,(Anmeldung!$B$19&amp;": "&amp;Anmeldung!$D$19&amp;", "&amp;Anmeldung!$E$19&amp;" / "&amp;Anmeldung!$G$19&amp;" / "&amp;Anmeldung!$J$19)&lt;&gt;Anmeldung!$S$27),Anmeldung!$B$19&amp;": "&amp;Anmeldung!$D$19&amp;", "&amp;Anmeldung!$E$19&amp;" / "&amp;Anmeldung!$G$19&amp;" / "&amp;Anmeldung!$J$19,"")</f>
        <v/>
      </c>
      <c r="BY6" t="str">
        <f>IF(AND(12&lt;&gt;20,Anmeldung!$D$19&lt;&gt;"",(Anmeldung!$B$19&amp;": "&amp;Anmeldung!$D$19&amp;", "&amp;Anmeldung!$E$19&amp;" / "&amp;Anmeldung!$G$19&amp;" / "&amp;Anmeldung!$J$19)&lt;&gt;Anmeldung!$R$27),Anmeldung!$B$19&amp;": "&amp;Anmeldung!$D$19&amp;", "&amp;Anmeldung!$E$19&amp;" / "&amp;Anmeldung!$G$19&amp;" / "&amp;Anmeldung!$J$19,"")</f>
        <v/>
      </c>
      <c r="BZ6" t="str">
        <f>IF(AND(11&lt;&gt;19,Anmeldung!$D$19&lt;&gt;"",Anmeldung!$U$19="Ja",Anmeldung!$G$19=Anmeldung!$G$27,Anmeldung!$J$19=Anmeldung!$J$27),Anmeldung!$B$19&amp;": "&amp;Anmeldung!$D$19&amp;", "&amp;Anmeldung!$E$19&amp;" / "&amp;Anmeldung!$G$19&amp;" / "&amp;Anmeldung!$J$19,"")</f>
        <v/>
      </c>
      <c r="CC6" t="str">
        <f>IF(AND(12&lt;&gt;21,Anmeldung!$D$19&lt;&gt;"",Anmeldung!$G$19=Anmeldung!$G$28,Anmeldung!$J$19=Anmeldung!$J$28),Anmeldung!$B$19&amp;": "&amp;Anmeldung!$D$19&amp;", "&amp;Anmeldung!$E$19&amp;" / "&amp;Anmeldung!$G$19&amp;" / "&amp;Anmeldung!$J$19,"")</f>
        <v/>
      </c>
      <c r="CD6" t="str">
        <f>IF(AND(12&lt;&gt;21,Anmeldung!$D$19&lt;&gt;"",Anmeldung!$G$19=Anmeldung!$G$28,Anmeldung!$J$19=Anmeldung!$J$28,(Anmeldung!$B$19&amp;": "&amp;Anmeldung!$D$19&amp;", "&amp;Anmeldung!$E$19&amp;" / "&amp;Anmeldung!$G$19&amp;" / "&amp;Anmeldung!$J$19)&lt;&gt;Anmeldung!$P$28),Anmeldung!$B$19&amp;": "&amp;Anmeldung!$D$19&amp;", "&amp;Anmeldung!$E$19&amp;" / "&amp;Anmeldung!$G$19&amp;" / "&amp;Anmeldung!$J$19,"")</f>
        <v/>
      </c>
      <c r="CE6" t="str">
        <f>IF(AND(12&lt;&gt;21,Anmeldung!$D$19&lt;&gt;"",Anmeldung!$G$19=Anmeldung!$G$28,Anmeldung!$J$19=Anmeldung!$J$28,(Anmeldung!$B$19&amp;": "&amp;Anmeldung!$D$19&amp;", "&amp;Anmeldung!$E$19&amp;" / "&amp;Anmeldung!$G$19&amp;" / "&amp;Anmeldung!$J$19)&lt;&gt;Anmeldung!$O$28),Anmeldung!$B$19&amp;": "&amp;Anmeldung!$D$19&amp;", "&amp;Anmeldung!$E$19&amp;" / "&amp;Anmeldung!$G$19&amp;" / "&amp;Anmeldung!$J$19,"")</f>
        <v/>
      </c>
      <c r="CF6" t="str">
        <f>IF(AND(12&lt;&gt;21,Anmeldung!$D$19&lt;&gt;"",Anmeldung!$G$19&lt;&gt;Anmeldung!$G$28,(Anmeldung!$B$19&amp;": "&amp;Anmeldung!$D$19&amp;", "&amp;Anmeldung!$E$19&amp;" / "&amp;Anmeldung!$G$19&amp;" / "&amp;Anmeldung!$J$19)&lt;&gt;Anmeldung!$S$28),Anmeldung!$B$19&amp;": "&amp;Anmeldung!$D$19&amp;", "&amp;Anmeldung!$E$19&amp;" / "&amp;Anmeldung!$G$19&amp;" / "&amp;Anmeldung!$J$19,"")</f>
        <v/>
      </c>
      <c r="CG6" t="str">
        <f>IF(AND(12&lt;&gt;21,Anmeldung!$D$19&lt;&gt;"",(Anmeldung!$B$19&amp;": "&amp;Anmeldung!$D$19&amp;", "&amp;Anmeldung!$E$19&amp;" / "&amp;Anmeldung!$G$19&amp;" / "&amp;Anmeldung!$J$19)&lt;&gt;Anmeldung!$R$28),Anmeldung!$B$19&amp;": "&amp;Anmeldung!$D$19&amp;", "&amp;Anmeldung!$E$19&amp;" / "&amp;Anmeldung!$G$19&amp;" / "&amp;Anmeldung!$J$19,"")</f>
        <v/>
      </c>
      <c r="CH6" t="str">
        <f>IF(AND(11&lt;&gt;20,Anmeldung!$D$19&lt;&gt;"",Anmeldung!$U$19="Ja",Anmeldung!$G$19=Anmeldung!$G$28,Anmeldung!$J$19=Anmeldung!$J$28),Anmeldung!$B$19&amp;": "&amp;Anmeldung!$D$19&amp;", "&amp;Anmeldung!$E$19&amp;" / "&amp;Anmeldung!$G$19&amp;" / "&amp;Anmeldung!$J$19,"")</f>
        <v/>
      </c>
      <c r="CK6" t="str">
        <f>IF(AND(12&lt;&gt;22,Anmeldung!$D$19&lt;&gt;"",Anmeldung!$G$19=Anmeldung!$G$29,Anmeldung!$J$19=Anmeldung!$J$29),Anmeldung!$B$19&amp;": "&amp;Anmeldung!$D$19&amp;", "&amp;Anmeldung!$E$19&amp;" / "&amp;Anmeldung!$G$19&amp;" / "&amp;Anmeldung!$J$19,"")</f>
        <v/>
      </c>
      <c r="CL6" t="str">
        <f>IF(AND(12&lt;&gt;22,Anmeldung!$D$19&lt;&gt;"",Anmeldung!$G$19=Anmeldung!$G$29,Anmeldung!$J$19=Anmeldung!$J$29,(Anmeldung!$B$19&amp;": "&amp;Anmeldung!$D$19&amp;", "&amp;Anmeldung!$E$19&amp;" / "&amp;Anmeldung!$G$19&amp;" / "&amp;Anmeldung!$J$19)&lt;&gt;Anmeldung!$P$29),Anmeldung!$B$19&amp;": "&amp;Anmeldung!$D$19&amp;", "&amp;Anmeldung!$E$19&amp;" / "&amp;Anmeldung!$G$19&amp;" / "&amp;Anmeldung!$J$19,"")</f>
        <v/>
      </c>
      <c r="CM6" t="str">
        <f>IF(AND(12&lt;&gt;22,Anmeldung!$D$19&lt;&gt;"",Anmeldung!$G$19=Anmeldung!$G$29,Anmeldung!$J$19=Anmeldung!$J$29,(Anmeldung!$B$19&amp;": "&amp;Anmeldung!$D$19&amp;", "&amp;Anmeldung!$E$19&amp;" / "&amp;Anmeldung!$G$19&amp;" / "&amp;Anmeldung!$J$19)&lt;&gt;Anmeldung!$O$29),Anmeldung!$B$19&amp;": "&amp;Anmeldung!$D$19&amp;", "&amp;Anmeldung!$E$19&amp;" / "&amp;Anmeldung!$G$19&amp;" / "&amp;Anmeldung!$J$19,"")</f>
        <v/>
      </c>
      <c r="CN6" t="str">
        <f>IF(AND(12&lt;&gt;22,Anmeldung!$D$19&lt;&gt;"",Anmeldung!$G$19&lt;&gt;Anmeldung!$G$29,(Anmeldung!$B$19&amp;": "&amp;Anmeldung!$D$19&amp;", "&amp;Anmeldung!$E$19&amp;" / "&amp;Anmeldung!$G$19&amp;" / "&amp;Anmeldung!$J$19)&lt;&gt;Anmeldung!$S$29),Anmeldung!$B$19&amp;": "&amp;Anmeldung!$D$19&amp;", "&amp;Anmeldung!$E$19&amp;" / "&amp;Anmeldung!$G$19&amp;" / "&amp;Anmeldung!$J$19,"")</f>
        <v/>
      </c>
      <c r="CO6" t="str">
        <f>IF(AND(12&lt;&gt;22,Anmeldung!$D$19&lt;&gt;"",(Anmeldung!$B$19&amp;": "&amp;Anmeldung!$D$19&amp;", "&amp;Anmeldung!$E$19&amp;" / "&amp;Anmeldung!$G$19&amp;" / "&amp;Anmeldung!$J$19)&lt;&gt;Anmeldung!$R$29),Anmeldung!$B$19&amp;": "&amp;Anmeldung!$D$19&amp;", "&amp;Anmeldung!$E$19&amp;" / "&amp;Anmeldung!$G$19&amp;" / "&amp;Anmeldung!$J$19,"")</f>
        <v/>
      </c>
      <c r="CP6" t="str">
        <f>IF(AND(11&lt;&gt;21,Anmeldung!$D$19&lt;&gt;"",Anmeldung!$U$19="Ja",Anmeldung!$G$19=Anmeldung!$G$29,Anmeldung!$J$19=Anmeldung!$J$29),Anmeldung!$B$19&amp;": "&amp;Anmeldung!$D$19&amp;", "&amp;Anmeldung!$E$19&amp;" / "&amp;Anmeldung!$G$19&amp;" / "&amp;Anmeldung!$J$19,"")</f>
        <v/>
      </c>
      <c r="CS6" t="str">
        <f>IF(AND(12&lt;&gt;23,Anmeldung!$D$19&lt;&gt;"",Anmeldung!$G$19=Anmeldung!$G$30,Anmeldung!$J$19=Anmeldung!$J$30),Anmeldung!$B$19&amp;": "&amp;Anmeldung!$D$19&amp;", "&amp;Anmeldung!$E$19&amp;" / "&amp;Anmeldung!$G$19&amp;" / "&amp;Anmeldung!$J$19,"")</f>
        <v/>
      </c>
      <c r="CT6" t="str">
        <f>IF(AND(12&lt;&gt;23,Anmeldung!$D$19&lt;&gt;"",Anmeldung!$G$19=Anmeldung!$G$30,Anmeldung!$J$19=Anmeldung!$J$30,(Anmeldung!$B$19&amp;": "&amp;Anmeldung!$D$19&amp;", "&amp;Anmeldung!$E$19&amp;" / "&amp;Anmeldung!$G$19&amp;" / "&amp;Anmeldung!$J$19)&lt;&gt;Anmeldung!$P$30),Anmeldung!$B$19&amp;": "&amp;Anmeldung!$D$19&amp;", "&amp;Anmeldung!$E$19&amp;" / "&amp;Anmeldung!$G$19&amp;" / "&amp;Anmeldung!$J$19,"")</f>
        <v/>
      </c>
      <c r="CU6" t="str">
        <f>IF(AND(12&lt;&gt;23,Anmeldung!$D$19&lt;&gt;"",Anmeldung!$G$19=Anmeldung!$G$30,Anmeldung!$J$19=Anmeldung!$J$30,(Anmeldung!$B$19&amp;": "&amp;Anmeldung!$D$19&amp;", "&amp;Anmeldung!$E$19&amp;" / "&amp;Anmeldung!$G$19&amp;" / "&amp;Anmeldung!$J$19)&lt;&gt;Anmeldung!$O$30),Anmeldung!$B$19&amp;": "&amp;Anmeldung!$D$19&amp;", "&amp;Anmeldung!$E$19&amp;" / "&amp;Anmeldung!$G$19&amp;" / "&amp;Anmeldung!$J$19,"")</f>
        <v/>
      </c>
      <c r="CV6" t="str">
        <f>IF(AND(12&lt;&gt;23,Anmeldung!$D$19&lt;&gt;"",Anmeldung!$G$19&lt;&gt;Anmeldung!$G$30,(Anmeldung!$B$19&amp;": "&amp;Anmeldung!$D$19&amp;", "&amp;Anmeldung!$E$19&amp;" / "&amp;Anmeldung!$G$19&amp;" / "&amp;Anmeldung!$J$19)&lt;&gt;Anmeldung!$S$30),Anmeldung!$B$19&amp;": "&amp;Anmeldung!$D$19&amp;", "&amp;Anmeldung!$E$19&amp;" / "&amp;Anmeldung!$G$19&amp;" / "&amp;Anmeldung!$J$19,"")</f>
        <v/>
      </c>
      <c r="CW6" t="str">
        <f>IF(AND(12&lt;&gt;23,Anmeldung!$D$19&lt;&gt;"",(Anmeldung!$B$19&amp;": "&amp;Anmeldung!$D$19&amp;", "&amp;Anmeldung!$E$19&amp;" / "&amp;Anmeldung!$G$19&amp;" / "&amp;Anmeldung!$J$19)&lt;&gt;Anmeldung!$R$30),Anmeldung!$B$19&amp;": "&amp;Anmeldung!$D$19&amp;", "&amp;Anmeldung!$E$19&amp;" / "&amp;Anmeldung!$G$19&amp;" / "&amp;Anmeldung!$J$19,"")</f>
        <v/>
      </c>
      <c r="CX6" t="str">
        <f>IF(AND(11&lt;&gt;22,Anmeldung!$D$19&lt;&gt;"",Anmeldung!$U$19="Ja",Anmeldung!$G$19=Anmeldung!$G$30,Anmeldung!$J$19=Anmeldung!$J$30),Anmeldung!$B$19&amp;": "&amp;Anmeldung!$D$19&amp;", "&amp;Anmeldung!$E$19&amp;" / "&amp;Anmeldung!$G$19&amp;" / "&amp;Anmeldung!$J$19,"")</f>
        <v/>
      </c>
      <c r="DA6" t="str">
        <f>IF(AND(12&lt;&gt;24,Anmeldung!$D$19&lt;&gt;"",Anmeldung!$G$19=Anmeldung!$G$31,Anmeldung!$J$19=Anmeldung!$J$31),Anmeldung!$B$19&amp;": "&amp;Anmeldung!$D$19&amp;", "&amp;Anmeldung!$E$19&amp;" / "&amp;Anmeldung!$G$19&amp;" / "&amp;Anmeldung!$J$19,"")</f>
        <v/>
      </c>
      <c r="DB6" t="str">
        <f>IF(AND(12&lt;&gt;24,Anmeldung!$D$19&lt;&gt;"",Anmeldung!$G$19=Anmeldung!$G$31,Anmeldung!$J$19=Anmeldung!$J$31,(Anmeldung!$B$19&amp;": "&amp;Anmeldung!$D$19&amp;", "&amp;Anmeldung!$E$19&amp;" / "&amp;Anmeldung!$G$19&amp;" / "&amp;Anmeldung!$J$19)&lt;&gt;Anmeldung!$P$31),Anmeldung!$B$19&amp;": "&amp;Anmeldung!$D$19&amp;", "&amp;Anmeldung!$E$19&amp;" / "&amp;Anmeldung!$G$19&amp;" / "&amp;Anmeldung!$J$19,"")</f>
        <v/>
      </c>
      <c r="DC6" t="str">
        <f>IF(AND(12&lt;&gt;24,Anmeldung!$D$19&lt;&gt;"",Anmeldung!$G$19=Anmeldung!$G$31,Anmeldung!$J$19=Anmeldung!$J$31,(Anmeldung!$B$19&amp;": "&amp;Anmeldung!$D$19&amp;", "&amp;Anmeldung!$E$19&amp;" / "&amp;Anmeldung!$G$19&amp;" / "&amp;Anmeldung!$J$19)&lt;&gt;Anmeldung!$O$31),Anmeldung!$B$19&amp;": "&amp;Anmeldung!$D$19&amp;", "&amp;Anmeldung!$E$19&amp;" / "&amp;Anmeldung!$G$19&amp;" / "&amp;Anmeldung!$J$19,"")</f>
        <v/>
      </c>
      <c r="DD6" t="str">
        <f>IF(AND(12&lt;&gt;24,Anmeldung!$D$19&lt;&gt;"",Anmeldung!$G$19&lt;&gt;Anmeldung!$G$31,(Anmeldung!$B$19&amp;": "&amp;Anmeldung!$D$19&amp;", "&amp;Anmeldung!$E$19&amp;" / "&amp;Anmeldung!$G$19&amp;" / "&amp;Anmeldung!$J$19)&lt;&gt;Anmeldung!$S$31),Anmeldung!$B$19&amp;": "&amp;Anmeldung!$D$19&amp;", "&amp;Anmeldung!$E$19&amp;" / "&amp;Anmeldung!$G$19&amp;" / "&amp;Anmeldung!$J$19,"")</f>
        <v/>
      </c>
      <c r="DE6" t="str">
        <f>IF(AND(12&lt;&gt;24,Anmeldung!$D$19&lt;&gt;"",(Anmeldung!$B$19&amp;": "&amp;Anmeldung!$D$19&amp;", "&amp;Anmeldung!$E$19&amp;" / "&amp;Anmeldung!$G$19&amp;" / "&amp;Anmeldung!$J$19)&lt;&gt;Anmeldung!$R$31),Anmeldung!$B$19&amp;": "&amp;Anmeldung!$D$19&amp;", "&amp;Anmeldung!$E$19&amp;" / "&amp;Anmeldung!$G$19&amp;" / "&amp;Anmeldung!$J$19,"")</f>
        <v/>
      </c>
      <c r="DF6" t="str">
        <f>IF(AND(11&lt;&gt;23,Anmeldung!$D$19&lt;&gt;"",Anmeldung!$U$19="Ja",Anmeldung!$G$19=Anmeldung!$G$31,Anmeldung!$J$19=Anmeldung!$J$31),Anmeldung!$B$19&amp;": "&amp;Anmeldung!$D$19&amp;", "&amp;Anmeldung!$E$19&amp;" / "&amp;Anmeldung!$G$19&amp;" / "&amp;Anmeldung!$J$19,"")</f>
        <v/>
      </c>
      <c r="DI6" t="str">
        <f>IF(AND(12&lt;&gt;25,Anmeldung!$D$19&lt;&gt;"",Anmeldung!$G$19=Anmeldung!$G$32,Anmeldung!$J$19=Anmeldung!$J$32),Anmeldung!$B$19&amp;": "&amp;Anmeldung!$D$19&amp;", "&amp;Anmeldung!$E$19&amp;" / "&amp;Anmeldung!$G$19&amp;" / "&amp;Anmeldung!$J$19,"")</f>
        <v/>
      </c>
      <c r="DJ6" t="str">
        <f>IF(AND(12&lt;&gt;25,Anmeldung!$D$19&lt;&gt;"",Anmeldung!$G$19=Anmeldung!$G$32,Anmeldung!$J$19=Anmeldung!$J$32,(Anmeldung!$B$19&amp;": "&amp;Anmeldung!$D$19&amp;", "&amp;Anmeldung!$E$19&amp;" / "&amp;Anmeldung!$G$19&amp;" / "&amp;Anmeldung!$J$19)&lt;&gt;Anmeldung!$P$32),Anmeldung!$B$19&amp;": "&amp;Anmeldung!$D$19&amp;", "&amp;Anmeldung!$E$19&amp;" / "&amp;Anmeldung!$G$19&amp;" / "&amp;Anmeldung!$J$19,"")</f>
        <v/>
      </c>
      <c r="DK6" t="str">
        <f>IF(AND(12&lt;&gt;25,Anmeldung!$D$19&lt;&gt;"",Anmeldung!$G$19=Anmeldung!$G$32,Anmeldung!$J$19=Anmeldung!$J$32,(Anmeldung!$B$19&amp;": "&amp;Anmeldung!$D$19&amp;", "&amp;Anmeldung!$E$19&amp;" / "&amp;Anmeldung!$G$19&amp;" / "&amp;Anmeldung!$J$19)&lt;&gt;Anmeldung!$O$32),Anmeldung!$B$19&amp;": "&amp;Anmeldung!$D$19&amp;", "&amp;Anmeldung!$E$19&amp;" / "&amp;Anmeldung!$G$19&amp;" / "&amp;Anmeldung!$J$19,"")</f>
        <v/>
      </c>
      <c r="DL6" t="str">
        <f>IF(AND(12&lt;&gt;25,Anmeldung!$D$19&lt;&gt;"",Anmeldung!$G$19&lt;&gt;Anmeldung!$G$32,(Anmeldung!$B$19&amp;": "&amp;Anmeldung!$D$19&amp;", "&amp;Anmeldung!$E$19&amp;" / "&amp;Anmeldung!$G$19&amp;" / "&amp;Anmeldung!$J$19)&lt;&gt;Anmeldung!$S$32),Anmeldung!$B$19&amp;": "&amp;Anmeldung!$D$19&amp;", "&amp;Anmeldung!$E$19&amp;" / "&amp;Anmeldung!$G$19&amp;" / "&amp;Anmeldung!$J$19,"")</f>
        <v/>
      </c>
      <c r="DM6" t="str">
        <f>IF(AND(12&lt;&gt;25,Anmeldung!$D$19&lt;&gt;"",(Anmeldung!$B$19&amp;": "&amp;Anmeldung!$D$19&amp;", "&amp;Anmeldung!$E$19&amp;" / "&amp;Anmeldung!$G$19&amp;" / "&amp;Anmeldung!$J$19)&lt;&gt;Anmeldung!$R$32),Anmeldung!$B$19&amp;": "&amp;Anmeldung!$D$19&amp;", "&amp;Anmeldung!$E$19&amp;" / "&amp;Anmeldung!$G$19&amp;" / "&amp;Anmeldung!$J$19,"")</f>
        <v/>
      </c>
      <c r="DN6" t="str">
        <f>IF(AND(11&lt;&gt;24,Anmeldung!$D$19&lt;&gt;"",Anmeldung!$U$19="Ja",Anmeldung!$G$19=Anmeldung!$G$32,Anmeldung!$J$19=Anmeldung!$J$32),Anmeldung!$B$19&amp;": "&amp;Anmeldung!$D$19&amp;", "&amp;Anmeldung!$E$19&amp;" / "&amp;Anmeldung!$G$19&amp;" / "&amp;Anmeldung!$J$19,"")</f>
        <v/>
      </c>
      <c r="DQ6" t="str">
        <f>IF(AND(12&lt;&gt;26,Anmeldung!$D$19&lt;&gt;"",Anmeldung!$G$19=Anmeldung!$G$33,Anmeldung!$J$19=Anmeldung!$J$33),Anmeldung!$B$19&amp;": "&amp;Anmeldung!$D$19&amp;", "&amp;Anmeldung!$E$19&amp;" / "&amp;Anmeldung!$G$19&amp;" / "&amp;Anmeldung!$J$19,"")</f>
        <v/>
      </c>
      <c r="DR6" t="str">
        <f>IF(AND(12&lt;&gt;26,Anmeldung!$D$19&lt;&gt;"",Anmeldung!$G$19=Anmeldung!$G$33,Anmeldung!$J$19=Anmeldung!$J$33,(Anmeldung!$B$19&amp;": "&amp;Anmeldung!$D$19&amp;", "&amp;Anmeldung!$E$19&amp;" / "&amp;Anmeldung!$G$19&amp;" / "&amp;Anmeldung!$J$19)&lt;&gt;Anmeldung!$P$33),Anmeldung!$B$19&amp;": "&amp;Anmeldung!$D$19&amp;", "&amp;Anmeldung!$E$19&amp;" / "&amp;Anmeldung!$G$19&amp;" / "&amp;Anmeldung!$J$19,"")</f>
        <v/>
      </c>
      <c r="DS6" t="str">
        <f>IF(AND(12&lt;&gt;26,Anmeldung!$D$19&lt;&gt;"",Anmeldung!$G$19=Anmeldung!$G$33,Anmeldung!$J$19=Anmeldung!$J$33,(Anmeldung!$B$19&amp;": "&amp;Anmeldung!$D$19&amp;", "&amp;Anmeldung!$E$19&amp;" / "&amp;Anmeldung!$G$19&amp;" / "&amp;Anmeldung!$J$19)&lt;&gt;Anmeldung!$O$33),Anmeldung!$B$19&amp;": "&amp;Anmeldung!$D$19&amp;", "&amp;Anmeldung!$E$19&amp;" / "&amp;Anmeldung!$G$19&amp;" / "&amp;Anmeldung!$J$19,"")</f>
        <v/>
      </c>
      <c r="DT6" t="str">
        <f>IF(AND(12&lt;&gt;26,Anmeldung!$D$19&lt;&gt;"",Anmeldung!$G$19&lt;&gt;Anmeldung!$G$33,(Anmeldung!$B$19&amp;": "&amp;Anmeldung!$D$19&amp;", "&amp;Anmeldung!$E$19&amp;" / "&amp;Anmeldung!$G$19&amp;" / "&amp;Anmeldung!$J$19)&lt;&gt;Anmeldung!$S$33),Anmeldung!$B$19&amp;": "&amp;Anmeldung!$D$19&amp;", "&amp;Anmeldung!$E$19&amp;" / "&amp;Anmeldung!$G$19&amp;" / "&amp;Anmeldung!$J$19,"")</f>
        <v/>
      </c>
      <c r="DU6" t="str">
        <f>IF(AND(12&lt;&gt;26,Anmeldung!$D$19&lt;&gt;"",(Anmeldung!$B$19&amp;": "&amp;Anmeldung!$D$19&amp;", "&amp;Anmeldung!$E$19&amp;" / "&amp;Anmeldung!$G$19&amp;" / "&amp;Anmeldung!$J$19)&lt;&gt;Anmeldung!$R$33),Anmeldung!$B$19&amp;": "&amp;Anmeldung!$D$19&amp;", "&amp;Anmeldung!$E$19&amp;" / "&amp;Anmeldung!$G$19&amp;" / "&amp;Anmeldung!$J$19,"")</f>
        <v/>
      </c>
      <c r="DV6" t="str">
        <f>IF(AND(11&lt;&gt;25,Anmeldung!$D$19&lt;&gt;"",Anmeldung!$U$19="Ja",Anmeldung!$G$19=Anmeldung!$G$33,Anmeldung!$J$19=Anmeldung!$J$33),Anmeldung!$B$19&amp;": "&amp;Anmeldung!$D$19&amp;", "&amp;Anmeldung!$E$19&amp;" / "&amp;Anmeldung!$G$19&amp;" / "&amp;Anmeldung!$J$19,"")</f>
        <v/>
      </c>
      <c r="DY6" t="str">
        <f>IF(AND(12&lt;&gt;27,Anmeldung!$D$19&lt;&gt;"",Anmeldung!$G$19=Anmeldung!$G$34,Anmeldung!$J$19=Anmeldung!$J$34),Anmeldung!$B$19&amp;": "&amp;Anmeldung!$D$19&amp;", "&amp;Anmeldung!$E$19&amp;" / "&amp;Anmeldung!$G$19&amp;" / "&amp;Anmeldung!$J$19,"")</f>
        <v/>
      </c>
      <c r="DZ6" t="str">
        <f>IF(AND(12&lt;&gt;27,Anmeldung!$D$19&lt;&gt;"",Anmeldung!$G$19=Anmeldung!$G$34,Anmeldung!$J$19=Anmeldung!$J$34,(Anmeldung!$B$19&amp;": "&amp;Anmeldung!$D$19&amp;", "&amp;Anmeldung!$E$19&amp;" / "&amp;Anmeldung!$G$19&amp;" / "&amp;Anmeldung!$J$19)&lt;&gt;Anmeldung!$P$34),Anmeldung!$B$19&amp;": "&amp;Anmeldung!$D$19&amp;", "&amp;Anmeldung!$E$19&amp;" / "&amp;Anmeldung!$G$19&amp;" / "&amp;Anmeldung!$J$19,"")</f>
        <v/>
      </c>
      <c r="EA6" t="str">
        <f>IF(AND(12&lt;&gt;27,Anmeldung!$D$19&lt;&gt;"",Anmeldung!$G$19=Anmeldung!$G$34,Anmeldung!$J$19=Anmeldung!$J$34,(Anmeldung!$B$19&amp;": "&amp;Anmeldung!$D$19&amp;", "&amp;Anmeldung!$E$19&amp;" / "&amp;Anmeldung!$G$19&amp;" / "&amp;Anmeldung!$J$19)&lt;&gt;Anmeldung!$O$34),Anmeldung!$B$19&amp;": "&amp;Anmeldung!$D$19&amp;", "&amp;Anmeldung!$E$19&amp;" / "&amp;Anmeldung!$G$19&amp;" / "&amp;Anmeldung!$J$19,"")</f>
        <v/>
      </c>
      <c r="EB6" t="str">
        <f>IF(AND(12&lt;&gt;27,Anmeldung!$D$19&lt;&gt;"",Anmeldung!$G$19&lt;&gt;Anmeldung!$G$34,(Anmeldung!$B$19&amp;": "&amp;Anmeldung!$D$19&amp;", "&amp;Anmeldung!$E$19&amp;" / "&amp;Anmeldung!$G$19&amp;" / "&amp;Anmeldung!$J$19)&lt;&gt;Anmeldung!$S$34),Anmeldung!$B$19&amp;": "&amp;Anmeldung!$D$19&amp;", "&amp;Anmeldung!$E$19&amp;" / "&amp;Anmeldung!$G$19&amp;" / "&amp;Anmeldung!$J$19,"")</f>
        <v/>
      </c>
      <c r="EC6" t="str">
        <f>IF(AND(12&lt;&gt;27,Anmeldung!$D$19&lt;&gt;"",(Anmeldung!$B$19&amp;": "&amp;Anmeldung!$D$19&amp;", "&amp;Anmeldung!$E$19&amp;" / "&amp;Anmeldung!$G$19&amp;" / "&amp;Anmeldung!$J$19)&lt;&gt;Anmeldung!$R$34),Anmeldung!$B$19&amp;": "&amp;Anmeldung!$D$19&amp;", "&amp;Anmeldung!$E$19&amp;" / "&amp;Anmeldung!$G$19&amp;" / "&amp;Anmeldung!$J$19,"")</f>
        <v/>
      </c>
      <c r="ED6" t="str">
        <f>IF(AND(11&lt;&gt;26,Anmeldung!$D$19&lt;&gt;"",Anmeldung!$U$19="Ja",Anmeldung!$G$19=Anmeldung!$G$34,Anmeldung!$J$19=Anmeldung!$J$34),Anmeldung!$B$19&amp;": "&amp;Anmeldung!$D$19&amp;", "&amp;Anmeldung!$E$19&amp;" / "&amp;Anmeldung!$G$19&amp;" / "&amp;Anmeldung!$J$19,"")</f>
        <v/>
      </c>
      <c r="EG6" t="str">
        <f>IF(AND(12&lt;&gt;28,Anmeldung!$D$19&lt;&gt;"",Anmeldung!$G$19=Anmeldung!$G$35,Anmeldung!$J$19=Anmeldung!$J$35),Anmeldung!$B$19&amp;": "&amp;Anmeldung!$D$19&amp;", "&amp;Anmeldung!$E$19&amp;" / "&amp;Anmeldung!$G$19&amp;" / "&amp;Anmeldung!$J$19,"")</f>
        <v/>
      </c>
      <c r="EH6" t="str">
        <f>IF(AND(12&lt;&gt;28,Anmeldung!$D$19&lt;&gt;"",Anmeldung!$G$19=Anmeldung!$G$35,Anmeldung!$J$19=Anmeldung!$J$35,(Anmeldung!$B$19&amp;": "&amp;Anmeldung!$D$19&amp;", "&amp;Anmeldung!$E$19&amp;" / "&amp;Anmeldung!$G$19&amp;" / "&amp;Anmeldung!$J$19)&lt;&gt;Anmeldung!$P$35),Anmeldung!$B$19&amp;": "&amp;Anmeldung!$D$19&amp;", "&amp;Anmeldung!$E$19&amp;" / "&amp;Anmeldung!$G$19&amp;" / "&amp;Anmeldung!$J$19,"")</f>
        <v/>
      </c>
      <c r="EI6" t="str">
        <f>IF(AND(12&lt;&gt;28,Anmeldung!$D$19&lt;&gt;"",Anmeldung!$G$19=Anmeldung!$G$35,Anmeldung!$J$19=Anmeldung!$J$35,(Anmeldung!$B$19&amp;": "&amp;Anmeldung!$D$19&amp;", "&amp;Anmeldung!$E$19&amp;" / "&amp;Anmeldung!$G$19&amp;" / "&amp;Anmeldung!$J$19)&lt;&gt;Anmeldung!$O$35),Anmeldung!$B$19&amp;": "&amp;Anmeldung!$D$19&amp;", "&amp;Anmeldung!$E$19&amp;" / "&amp;Anmeldung!$G$19&amp;" / "&amp;Anmeldung!$J$19,"")</f>
        <v/>
      </c>
      <c r="EJ6" t="str">
        <f>IF(AND(12&lt;&gt;28,Anmeldung!$D$19&lt;&gt;"",Anmeldung!$G$19&lt;&gt;Anmeldung!$G$35,(Anmeldung!$B$19&amp;": "&amp;Anmeldung!$D$19&amp;", "&amp;Anmeldung!$E$19&amp;" / "&amp;Anmeldung!$G$19&amp;" / "&amp;Anmeldung!$J$19)&lt;&gt;Anmeldung!$S$35),Anmeldung!$B$19&amp;": "&amp;Anmeldung!$D$19&amp;", "&amp;Anmeldung!$E$19&amp;" / "&amp;Anmeldung!$G$19&amp;" / "&amp;Anmeldung!$J$19,"")</f>
        <v/>
      </c>
      <c r="EK6" t="str">
        <f>IF(AND(12&lt;&gt;28,Anmeldung!$D$19&lt;&gt;"",(Anmeldung!$B$19&amp;": "&amp;Anmeldung!$D$19&amp;", "&amp;Anmeldung!$E$19&amp;" / "&amp;Anmeldung!$G$19&amp;" / "&amp;Anmeldung!$J$19)&lt;&gt;Anmeldung!$R$35),Anmeldung!$B$19&amp;": "&amp;Anmeldung!$D$19&amp;", "&amp;Anmeldung!$E$19&amp;" / "&amp;Anmeldung!$G$19&amp;" / "&amp;Anmeldung!$J$19,"")</f>
        <v/>
      </c>
      <c r="EL6" t="str">
        <f>IF(AND(11&lt;&gt;27,Anmeldung!$D$19&lt;&gt;"",Anmeldung!$U$19="Ja",Anmeldung!$G$19=Anmeldung!$G$35,Anmeldung!$J$19=Anmeldung!$J$35),Anmeldung!$B$19&amp;": "&amp;Anmeldung!$D$19&amp;", "&amp;Anmeldung!$E$19&amp;" / "&amp;Anmeldung!$G$19&amp;" / "&amp;Anmeldung!$J$19,"")</f>
        <v/>
      </c>
      <c r="EO6" t="str">
        <f>IF(AND(12&lt;&gt;29,Anmeldung!$D$19&lt;&gt;"",Anmeldung!$G$19=Anmeldung!$G$36,Anmeldung!$J$19=Anmeldung!$J$36),Anmeldung!$B$19&amp;": "&amp;Anmeldung!$D$19&amp;", "&amp;Anmeldung!$E$19&amp;" / "&amp;Anmeldung!$G$19&amp;" / "&amp;Anmeldung!$J$19,"")</f>
        <v/>
      </c>
      <c r="EP6" t="str">
        <f>IF(AND(12&lt;&gt;29,Anmeldung!$D$19&lt;&gt;"",Anmeldung!$G$19=Anmeldung!$G$36,Anmeldung!$J$19=Anmeldung!$J$36,(Anmeldung!$B$19&amp;": "&amp;Anmeldung!$D$19&amp;", "&amp;Anmeldung!$E$19&amp;" / "&amp;Anmeldung!$G$19&amp;" / "&amp;Anmeldung!$J$19)&lt;&gt;Anmeldung!$P$36),Anmeldung!$B$19&amp;": "&amp;Anmeldung!$D$19&amp;", "&amp;Anmeldung!$E$19&amp;" / "&amp;Anmeldung!$G$19&amp;" / "&amp;Anmeldung!$J$19,"")</f>
        <v/>
      </c>
      <c r="EQ6" t="str">
        <f>IF(AND(12&lt;&gt;29,Anmeldung!$D$19&lt;&gt;"",Anmeldung!$G$19=Anmeldung!$G$36,Anmeldung!$J$19=Anmeldung!$J$36,(Anmeldung!$B$19&amp;": "&amp;Anmeldung!$D$19&amp;", "&amp;Anmeldung!$E$19&amp;" / "&amp;Anmeldung!$G$19&amp;" / "&amp;Anmeldung!$J$19)&lt;&gt;Anmeldung!$O$36),Anmeldung!$B$19&amp;": "&amp;Anmeldung!$D$19&amp;", "&amp;Anmeldung!$E$19&amp;" / "&amp;Anmeldung!$G$19&amp;" / "&amp;Anmeldung!$J$19,"")</f>
        <v/>
      </c>
      <c r="ER6" t="str">
        <f>IF(AND(12&lt;&gt;29,Anmeldung!$D$19&lt;&gt;"",Anmeldung!$G$19&lt;&gt;Anmeldung!$G$36,(Anmeldung!$B$19&amp;": "&amp;Anmeldung!$D$19&amp;", "&amp;Anmeldung!$E$19&amp;" / "&amp;Anmeldung!$G$19&amp;" / "&amp;Anmeldung!$J$19)&lt;&gt;Anmeldung!$S$36),Anmeldung!$B$19&amp;": "&amp;Anmeldung!$D$19&amp;", "&amp;Anmeldung!$E$19&amp;" / "&amp;Anmeldung!$G$19&amp;" / "&amp;Anmeldung!$J$19,"")</f>
        <v/>
      </c>
      <c r="ES6" t="str">
        <f>IF(AND(12&lt;&gt;29,Anmeldung!$D$19&lt;&gt;"",(Anmeldung!$B$19&amp;": "&amp;Anmeldung!$D$19&amp;", "&amp;Anmeldung!$E$19&amp;" / "&amp;Anmeldung!$G$19&amp;" / "&amp;Anmeldung!$J$19)&lt;&gt;Anmeldung!$R$36),Anmeldung!$B$19&amp;": "&amp;Anmeldung!$D$19&amp;", "&amp;Anmeldung!$E$19&amp;" / "&amp;Anmeldung!$G$19&amp;" / "&amp;Anmeldung!$J$19,"")</f>
        <v/>
      </c>
      <c r="ET6" t="str">
        <f>IF(AND(11&lt;&gt;28,Anmeldung!$D$19&lt;&gt;"",Anmeldung!$U$19="Ja",Anmeldung!$G$19=Anmeldung!$G$36,Anmeldung!$J$19=Anmeldung!$J$36),Anmeldung!$B$19&amp;": "&amp;Anmeldung!$D$19&amp;", "&amp;Anmeldung!$E$19&amp;" / "&amp;Anmeldung!$G$19&amp;" / "&amp;Anmeldung!$J$19,"")</f>
        <v/>
      </c>
      <c r="EW6" t="str">
        <f>IF(AND(12&lt;&gt;30,Anmeldung!$D$19&lt;&gt;"",Anmeldung!$G$19=Anmeldung!$G$37,Anmeldung!$J$19=Anmeldung!$J$37),Anmeldung!$B$19&amp;": "&amp;Anmeldung!$D$19&amp;", "&amp;Anmeldung!$E$19&amp;" / "&amp;Anmeldung!$G$19&amp;" / "&amp;Anmeldung!$J$19,"")</f>
        <v/>
      </c>
      <c r="EX6" t="str">
        <f>IF(AND(12&lt;&gt;30,Anmeldung!$D$19&lt;&gt;"",Anmeldung!$G$19=Anmeldung!$G$37,Anmeldung!$J$19=Anmeldung!$J$37,(Anmeldung!$B$19&amp;": "&amp;Anmeldung!$D$19&amp;", "&amp;Anmeldung!$E$19&amp;" / "&amp;Anmeldung!$G$19&amp;" / "&amp;Anmeldung!$J$19)&lt;&gt;Anmeldung!$P$37),Anmeldung!$B$19&amp;": "&amp;Anmeldung!$D$19&amp;", "&amp;Anmeldung!$E$19&amp;" / "&amp;Anmeldung!$G$19&amp;" / "&amp;Anmeldung!$J$19,"")</f>
        <v/>
      </c>
      <c r="EY6" t="str">
        <f>IF(AND(12&lt;&gt;30,Anmeldung!$D$19&lt;&gt;"",Anmeldung!$G$19=Anmeldung!$G$37,Anmeldung!$J$19=Anmeldung!$J$37,(Anmeldung!$B$19&amp;": "&amp;Anmeldung!$D$19&amp;", "&amp;Anmeldung!$E$19&amp;" / "&amp;Anmeldung!$G$19&amp;" / "&amp;Anmeldung!$J$19)&lt;&gt;Anmeldung!$O$37),Anmeldung!$B$19&amp;": "&amp;Anmeldung!$D$19&amp;", "&amp;Anmeldung!$E$19&amp;" / "&amp;Anmeldung!$G$19&amp;" / "&amp;Anmeldung!$J$19,"")</f>
        <v/>
      </c>
      <c r="EZ6" t="str">
        <f>IF(AND(12&lt;&gt;30,Anmeldung!$D$19&lt;&gt;"",Anmeldung!$G$19&lt;&gt;Anmeldung!$G$37,(Anmeldung!$B$19&amp;": "&amp;Anmeldung!$D$19&amp;", "&amp;Anmeldung!$E$19&amp;" / "&amp;Anmeldung!$G$19&amp;" / "&amp;Anmeldung!$J$19)&lt;&gt;Anmeldung!$S$37),Anmeldung!$B$19&amp;": "&amp;Anmeldung!$D$19&amp;", "&amp;Anmeldung!$E$19&amp;" / "&amp;Anmeldung!$G$19&amp;" / "&amp;Anmeldung!$J$19,"")</f>
        <v/>
      </c>
      <c r="FA6" t="str">
        <f>IF(AND(12&lt;&gt;30,Anmeldung!$D$19&lt;&gt;"",(Anmeldung!$B$19&amp;": "&amp;Anmeldung!$D$19&amp;", "&amp;Anmeldung!$E$19&amp;" / "&amp;Anmeldung!$G$19&amp;" / "&amp;Anmeldung!$J$19)&lt;&gt;Anmeldung!$R$37),Anmeldung!$B$19&amp;": "&amp;Anmeldung!$D$19&amp;", "&amp;Anmeldung!$E$19&amp;" / "&amp;Anmeldung!$G$19&amp;" / "&amp;Anmeldung!$J$19,"")</f>
        <v/>
      </c>
      <c r="FB6" t="str">
        <f>IF(AND(11&lt;&gt;29,Anmeldung!$D$19&lt;&gt;"",Anmeldung!$U$19="Ja",Anmeldung!$G$19=Anmeldung!$G$37,Anmeldung!$J$19=Anmeldung!$J$37),Anmeldung!$B$19&amp;": "&amp;Anmeldung!$D$19&amp;", "&amp;Anmeldung!$E$19&amp;" / "&amp;Anmeldung!$G$19&amp;" / "&amp;Anmeldung!$J$19,"")</f>
        <v/>
      </c>
      <c r="FE6" t="str">
        <f>IF(AND(12&lt;&gt;31,Anmeldung!$D$19&lt;&gt;"",Anmeldung!$G$19=Anmeldung!$G$38,Anmeldung!$J$19=Anmeldung!$J$38),Anmeldung!$B$19&amp;": "&amp;Anmeldung!$D$19&amp;", "&amp;Anmeldung!$E$19&amp;" / "&amp;Anmeldung!$G$19&amp;" / "&amp;Anmeldung!$J$19,"")</f>
        <v/>
      </c>
      <c r="FF6" t="str">
        <f>IF(AND(12&lt;&gt;31,Anmeldung!$D$19&lt;&gt;"",Anmeldung!$G$19=Anmeldung!$G$38,Anmeldung!$J$19=Anmeldung!$J$38,(Anmeldung!$B$19&amp;": "&amp;Anmeldung!$D$19&amp;", "&amp;Anmeldung!$E$19&amp;" / "&amp;Anmeldung!$G$19&amp;" / "&amp;Anmeldung!$J$19)&lt;&gt;Anmeldung!$P$38),Anmeldung!$B$19&amp;": "&amp;Anmeldung!$D$19&amp;", "&amp;Anmeldung!$E$19&amp;" / "&amp;Anmeldung!$G$19&amp;" / "&amp;Anmeldung!$J$19,"")</f>
        <v/>
      </c>
      <c r="FG6" t="str">
        <f>IF(AND(12&lt;&gt;31,Anmeldung!$D$19&lt;&gt;"",Anmeldung!$G$19=Anmeldung!$G$38,Anmeldung!$J$19=Anmeldung!$J$38,(Anmeldung!$B$19&amp;": "&amp;Anmeldung!$D$19&amp;", "&amp;Anmeldung!$E$19&amp;" / "&amp;Anmeldung!$G$19&amp;" / "&amp;Anmeldung!$J$19)&lt;&gt;Anmeldung!$O$38),Anmeldung!$B$19&amp;": "&amp;Anmeldung!$D$19&amp;", "&amp;Anmeldung!$E$19&amp;" / "&amp;Anmeldung!$G$19&amp;" / "&amp;Anmeldung!$J$19,"")</f>
        <v/>
      </c>
      <c r="FH6" t="str">
        <f>IF(AND(12&lt;&gt;31,Anmeldung!$D$19&lt;&gt;"",Anmeldung!$G$19&lt;&gt;Anmeldung!$G$38,(Anmeldung!$B$19&amp;": "&amp;Anmeldung!$D$19&amp;", "&amp;Anmeldung!$E$19&amp;" / "&amp;Anmeldung!$G$19&amp;" / "&amp;Anmeldung!$J$19)&lt;&gt;Anmeldung!$S$38),Anmeldung!$B$19&amp;": "&amp;Anmeldung!$D$19&amp;", "&amp;Anmeldung!$E$19&amp;" / "&amp;Anmeldung!$G$19&amp;" / "&amp;Anmeldung!$J$19,"")</f>
        <v/>
      </c>
      <c r="FI6" t="str">
        <f>IF(AND(12&lt;&gt;31,Anmeldung!$D$19&lt;&gt;"",(Anmeldung!$B$19&amp;": "&amp;Anmeldung!$D$19&amp;", "&amp;Anmeldung!$E$19&amp;" / "&amp;Anmeldung!$G$19&amp;" / "&amp;Anmeldung!$J$19)&lt;&gt;Anmeldung!$R$38),Anmeldung!$B$19&amp;": "&amp;Anmeldung!$D$19&amp;", "&amp;Anmeldung!$E$19&amp;" / "&amp;Anmeldung!$G$19&amp;" / "&amp;Anmeldung!$J$19,"")</f>
        <v/>
      </c>
      <c r="FJ6" t="str">
        <f>IF(AND(11&lt;&gt;30,Anmeldung!$D$19&lt;&gt;"",Anmeldung!$U$19="Ja",Anmeldung!$G$19=Anmeldung!$G$38,Anmeldung!$J$19=Anmeldung!$J$38),Anmeldung!$B$19&amp;": "&amp;Anmeldung!$D$19&amp;", "&amp;Anmeldung!$E$19&amp;" / "&amp;Anmeldung!$G$19&amp;" / "&amp;Anmeldung!$J$19,"")</f>
        <v/>
      </c>
      <c r="FM6" t="str">
        <f>IF(AND(12&lt;&gt;32,Anmeldung!$D$19&lt;&gt;"",Anmeldung!$G$19=Anmeldung!$G$39,Anmeldung!$J$19=Anmeldung!$J$39),Anmeldung!$B$19&amp;": "&amp;Anmeldung!$D$19&amp;", "&amp;Anmeldung!$E$19&amp;" / "&amp;Anmeldung!$G$19&amp;" / "&amp;Anmeldung!$J$19,"")</f>
        <v/>
      </c>
      <c r="FN6" t="str">
        <f>IF(AND(12&lt;&gt;32,Anmeldung!$D$19&lt;&gt;"",Anmeldung!$G$19=Anmeldung!$G$39,Anmeldung!$J$19=Anmeldung!$J$39,(Anmeldung!$B$19&amp;": "&amp;Anmeldung!$D$19&amp;", "&amp;Anmeldung!$E$19&amp;" / "&amp;Anmeldung!$G$19&amp;" / "&amp;Anmeldung!$J$19)&lt;&gt;Anmeldung!$P$39),Anmeldung!$B$19&amp;": "&amp;Anmeldung!$D$19&amp;", "&amp;Anmeldung!$E$19&amp;" / "&amp;Anmeldung!$G$19&amp;" / "&amp;Anmeldung!$J$19,"")</f>
        <v/>
      </c>
      <c r="FO6" t="str">
        <f>IF(AND(12&lt;&gt;32,Anmeldung!$D$19&lt;&gt;"",Anmeldung!$G$19=Anmeldung!$G$39,Anmeldung!$J$19=Anmeldung!$J$39,(Anmeldung!$B$19&amp;": "&amp;Anmeldung!$D$19&amp;", "&amp;Anmeldung!$E$19&amp;" / "&amp;Anmeldung!$G$19&amp;" / "&amp;Anmeldung!$J$19)&lt;&gt;Anmeldung!$O$39),Anmeldung!$B$19&amp;": "&amp;Anmeldung!$D$19&amp;", "&amp;Anmeldung!$E$19&amp;" / "&amp;Anmeldung!$G$19&amp;" / "&amp;Anmeldung!$J$19,"")</f>
        <v/>
      </c>
      <c r="FP6" t="str">
        <f>IF(AND(12&lt;&gt;32,Anmeldung!$D$19&lt;&gt;"",Anmeldung!$G$19&lt;&gt;Anmeldung!$G$39,(Anmeldung!$B$19&amp;": "&amp;Anmeldung!$D$19&amp;", "&amp;Anmeldung!$E$19&amp;" / "&amp;Anmeldung!$G$19&amp;" / "&amp;Anmeldung!$J$19)&lt;&gt;Anmeldung!$S$39),Anmeldung!$B$19&amp;": "&amp;Anmeldung!$D$19&amp;", "&amp;Anmeldung!$E$19&amp;" / "&amp;Anmeldung!$G$19&amp;" / "&amp;Anmeldung!$J$19,"")</f>
        <v/>
      </c>
      <c r="FQ6" t="str">
        <f>IF(AND(12&lt;&gt;32,Anmeldung!$D$19&lt;&gt;"",(Anmeldung!$B$19&amp;": "&amp;Anmeldung!$D$19&amp;", "&amp;Anmeldung!$E$19&amp;" / "&amp;Anmeldung!$G$19&amp;" / "&amp;Anmeldung!$J$19)&lt;&gt;Anmeldung!$R$39),Anmeldung!$B$19&amp;": "&amp;Anmeldung!$D$19&amp;", "&amp;Anmeldung!$E$19&amp;" / "&amp;Anmeldung!$G$19&amp;" / "&amp;Anmeldung!$J$19,"")</f>
        <v/>
      </c>
      <c r="FR6" t="str">
        <f>IF(AND(11&lt;&gt;31,Anmeldung!$D$19&lt;&gt;"",Anmeldung!$U$19="Ja",Anmeldung!$G$19=Anmeldung!$G$39,Anmeldung!$J$19=Anmeldung!$J$39),Anmeldung!$B$19&amp;": "&amp;Anmeldung!$D$19&amp;", "&amp;Anmeldung!$E$19&amp;" / "&amp;Anmeldung!$G$19&amp;" / "&amp;Anmeldung!$J$19,"")</f>
        <v/>
      </c>
      <c r="FU6" t="str">
        <f>IF(AND(12&lt;&gt;33,Anmeldung!$D$19&lt;&gt;"",Anmeldung!$G$19=Anmeldung!$G$40,Anmeldung!$J$19=Anmeldung!$J$40),Anmeldung!$B$19&amp;": "&amp;Anmeldung!$D$19&amp;", "&amp;Anmeldung!$E$19&amp;" / "&amp;Anmeldung!$G$19&amp;" / "&amp;Anmeldung!$J$19,"")</f>
        <v/>
      </c>
      <c r="FV6" t="str">
        <f>IF(AND(12&lt;&gt;33,Anmeldung!$D$19&lt;&gt;"",Anmeldung!$G$19=Anmeldung!$G$40,Anmeldung!$J$19=Anmeldung!$J$40,(Anmeldung!$B$19&amp;": "&amp;Anmeldung!$D$19&amp;", "&amp;Anmeldung!$E$19&amp;" / "&amp;Anmeldung!$G$19&amp;" / "&amp;Anmeldung!$J$19)&lt;&gt;Anmeldung!$P$40),Anmeldung!$B$19&amp;": "&amp;Anmeldung!$D$19&amp;", "&amp;Anmeldung!$E$19&amp;" / "&amp;Anmeldung!$G$19&amp;" / "&amp;Anmeldung!$J$19,"")</f>
        <v/>
      </c>
      <c r="FW6" t="str">
        <f>IF(AND(12&lt;&gt;33,Anmeldung!$D$19&lt;&gt;"",Anmeldung!$G$19=Anmeldung!$G$40,Anmeldung!$J$19=Anmeldung!$J$40,(Anmeldung!$B$19&amp;": "&amp;Anmeldung!$D$19&amp;", "&amp;Anmeldung!$E$19&amp;" / "&amp;Anmeldung!$G$19&amp;" / "&amp;Anmeldung!$J$19)&lt;&gt;Anmeldung!$O$40),Anmeldung!$B$19&amp;": "&amp;Anmeldung!$D$19&amp;", "&amp;Anmeldung!$E$19&amp;" / "&amp;Anmeldung!$G$19&amp;" / "&amp;Anmeldung!$J$19,"")</f>
        <v/>
      </c>
      <c r="FX6" t="str">
        <f>IF(AND(12&lt;&gt;33,Anmeldung!$D$19&lt;&gt;"",Anmeldung!$G$19&lt;&gt;Anmeldung!$G$40,(Anmeldung!$B$19&amp;": "&amp;Anmeldung!$D$19&amp;", "&amp;Anmeldung!$E$19&amp;" / "&amp;Anmeldung!$G$19&amp;" / "&amp;Anmeldung!$J$19)&lt;&gt;Anmeldung!$S$40),Anmeldung!$B$19&amp;": "&amp;Anmeldung!$D$19&amp;", "&amp;Anmeldung!$E$19&amp;" / "&amp;Anmeldung!$G$19&amp;" / "&amp;Anmeldung!$J$19,"")</f>
        <v/>
      </c>
      <c r="FY6" t="str">
        <f>IF(AND(12&lt;&gt;33,Anmeldung!$D$19&lt;&gt;"",(Anmeldung!$B$19&amp;": "&amp;Anmeldung!$D$19&amp;", "&amp;Anmeldung!$E$19&amp;" / "&amp;Anmeldung!$G$19&amp;" / "&amp;Anmeldung!$J$19)&lt;&gt;Anmeldung!$R$40),Anmeldung!$B$19&amp;": "&amp;Anmeldung!$D$19&amp;", "&amp;Anmeldung!$E$19&amp;" / "&amp;Anmeldung!$G$19&amp;" / "&amp;Anmeldung!$J$19,"")</f>
        <v/>
      </c>
      <c r="FZ6" t="str">
        <f>IF(AND(11&lt;&gt;32,Anmeldung!$D$19&lt;&gt;"",Anmeldung!$U$19="Ja",Anmeldung!$G$19=Anmeldung!$G$40,Anmeldung!$J$19=Anmeldung!$J$40),Anmeldung!$B$19&amp;": "&amp;Anmeldung!$D$19&amp;", "&amp;Anmeldung!$E$19&amp;" / "&amp;Anmeldung!$G$19&amp;" / "&amp;Anmeldung!$J$19,"")</f>
        <v/>
      </c>
      <c r="GC6" t="str">
        <f>IF(AND(12&lt;&gt;34,Anmeldung!$D$19&lt;&gt;"",Anmeldung!$G$19=Anmeldung!$G$41,Anmeldung!$J$19=Anmeldung!$J$41),Anmeldung!$B$19&amp;": "&amp;Anmeldung!$D$19&amp;", "&amp;Anmeldung!$E$19&amp;" / "&amp;Anmeldung!$G$19&amp;" / "&amp;Anmeldung!$J$19,"")</f>
        <v/>
      </c>
      <c r="GD6" t="str">
        <f>IF(AND(12&lt;&gt;34,Anmeldung!$D$19&lt;&gt;"",Anmeldung!$G$19=Anmeldung!$G$41,Anmeldung!$J$19=Anmeldung!$J$41,(Anmeldung!$B$19&amp;": "&amp;Anmeldung!$D$19&amp;", "&amp;Anmeldung!$E$19&amp;" / "&amp;Anmeldung!$G$19&amp;" / "&amp;Anmeldung!$J$19)&lt;&gt;Anmeldung!$P$41),Anmeldung!$B$19&amp;": "&amp;Anmeldung!$D$19&amp;", "&amp;Anmeldung!$E$19&amp;" / "&amp;Anmeldung!$G$19&amp;" / "&amp;Anmeldung!$J$19,"")</f>
        <v/>
      </c>
      <c r="GE6" t="str">
        <f>IF(AND(12&lt;&gt;34,Anmeldung!$D$19&lt;&gt;"",Anmeldung!$G$19=Anmeldung!$G$41,Anmeldung!$J$19=Anmeldung!$J$41,(Anmeldung!$B$19&amp;": "&amp;Anmeldung!$D$19&amp;", "&amp;Anmeldung!$E$19&amp;" / "&amp;Anmeldung!$G$19&amp;" / "&amp;Anmeldung!$J$19)&lt;&gt;Anmeldung!$O$41),Anmeldung!$B$19&amp;": "&amp;Anmeldung!$D$19&amp;", "&amp;Anmeldung!$E$19&amp;" / "&amp;Anmeldung!$G$19&amp;" / "&amp;Anmeldung!$J$19,"")</f>
        <v/>
      </c>
      <c r="GF6" t="str">
        <f>IF(AND(12&lt;&gt;34,Anmeldung!$D$19&lt;&gt;"",Anmeldung!$G$19&lt;&gt;Anmeldung!$G$41,(Anmeldung!$B$19&amp;": "&amp;Anmeldung!$D$19&amp;", "&amp;Anmeldung!$E$19&amp;" / "&amp;Anmeldung!$G$19&amp;" / "&amp;Anmeldung!$J$19)&lt;&gt;Anmeldung!$S$41),Anmeldung!$B$19&amp;": "&amp;Anmeldung!$D$19&amp;", "&amp;Anmeldung!$E$19&amp;" / "&amp;Anmeldung!$G$19&amp;" / "&amp;Anmeldung!$J$19,"")</f>
        <v/>
      </c>
      <c r="GG6" t="str">
        <f>IF(AND(12&lt;&gt;34,Anmeldung!$D$19&lt;&gt;"",(Anmeldung!$B$19&amp;": "&amp;Anmeldung!$D$19&amp;", "&amp;Anmeldung!$E$19&amp;" / "&amp;Anmeldung!$G$19&amp;" / "&amp;Anmeldung!$J$19)&lt;&gt;Anmeldung!$R$41),Anmeldung!$B$19&amp;": "&amp;Anmeldung!$D$19&amp;", "&amp;Anmeldung!$E$19&amp;" / "&amp;Anmeldung!$G$19&amp;" / "&amp;Anmeldung!$J$19,"")</f>
        <v/>
      </c>
      <c r="GH6" t="str">
        <f>IF(AND(11&lt;&gt;33,Anmeldung!$D$19&lt;&gt;"",Anmeldung!$U$19="Ja",Anmeldung!$G$19=Anmeldung!$G$41,Anmeldung!$J$19=Anmeldung!$J$41),Anmeldung!$B$19&amp;": "&amp;Anmeldung!$D$19&amp;", "&amp;Anmeldung!$E$19&amp;" / "&amp;Anmeldung!$G$19&amp;" / "&amp;Anmeldung!$J$19,"")</f>
        <v/>
      </c>
      <c r="GK6" t="str">
        <f>IF(AND(12&lt;&gt;35,Anmeldung!$D$19&lt;&gt;"",Anmeldung!$G$19=Anmeldung!$G$42,Anmeldung!$J$19=Anmeldung!$J$42),Anmeldung!$B$19&amp;": "&amp;Anmeldung!$D$19&amp;", "&amp;Anmeldung!$E$19&amp;" / "&amp;Anmeldung!$G$19&amp;" / "&amp;Anmeldung!$J$19,"")</f>
        <v/>
      </c>
      <c r="GL6" t="str">
        <f>IF(AND(12&lt;&gt;35,Anmeldung!$D$19&lt;&gt;"",Anmeldung!$G$19=Anmeldung!$G$42,Anmeldung!$J$19=Anmeldung!$J$42,(Anmeldung!$B$19&amp;": "&amp;Anmeldung!$D$19&amp;", "&amp;Anmeldung!$E$19&amp;" / "&amp;Anmeldung!$G$19&amp;" / "&amp;Anmeldung!$J$19)&lt;&gt;Anmeldung!$P$42),Anmeldung!$B$19&amp;": "&amp;Anmeldung!$D$19&amp;", "&amp;Anmeldung!$E$19&amp;" / "&amp;Anmeldung!$G$19&amp;" / "&amp;Anmeldung!$J$19,"")</f>
        <v/>
      </c>
      <c r="GM6" t="str">
        <f>IF(AND(12&lt;&gt;35,Anmeldung!$D$19&lt;&gt;"",Anmeldung!$G$19=Anmeldung!$G$42,Anmeldung!$J$19=Anmeldung!$J$42,(Anmeldung!$B$19&amp;": "&amp;Anmeldung!$D$19&amp;", "&amp;Anmeldung!$E$19&amp;" / "&amp;Anmeldung!$G$19&amp;" / "&amp;Anmeldung!$J$19)&lt;&gt;Anmeldung!$O$42),Anmeldung!$B$19&amp;": "&amp;Anmeldung!$D$19&amp;", "&amp;Anmeldung!$E$19&amp;" / "&amp;Anmeldung!$G$19&amp;" / "&amp;Anmeldung!$J$19,"")</f>
        <v/>
      </c>
      <c r="GN6" t="str">
        <f>IF(AND(12&lt;&gt;35,Anmeldung!$D$19&lt;&gt;"",Anmeldung!$G$19&lt;&gt;Anmeldung!$G$42,(Anmeldung!$B$19&amp;": "&amp;Anmeldung!$D$19&amp;", "&amp;Anmeldung!$E$19&amp;" / "&amp;Anmeldung!$G$19&amp;" / "&amp;Anmeldung!$J$19)&lt;&gt;Anmeldung!$S$42),Anmeldung!$B$19&amp;": "&amp;Anmeldung!$D$19&amp;", "&amp;Anmeldung!$E$19&amp;" / "&amp;Anmeldung!$G$19&amp;" / "&amp;Anmeldung!$J$19,"")</f>
        <v/>
      </c>
      <c r="GO6" t="str">
        <f>IF(AND(12&lt;&gt;35,Anmeldung!$D$19&lt;&gt;"",(Anmeldung!$B$19&amp;": "&amp;Anmeldung!$D$19&amp;", "&amp;Anmeldung!$E$19&amp;" / "&amp;Anmeldung!$G$19&amp;" / "&amp;Anmeldung!$J$19)&lt;&gt;Anmeldung!$R$42),Anmeldung!$B$19&amp;": "&amp;Anmeldung!$D$19&amp;", "&amp;Anmeldung!$E$19&amp;" / "&amp;Anmeldung!$G$19&amp;" / "&amp;Anmeldung!$J$19,"")</f>
        <v/>
      </c>
      <c r="GP6" t="str">
        <f>IF(AND(11&lt;&gt;34,Anmeldung!$D$19&lt;&gt;"",Anmeldung!$U$19="Ja",Anmeldung!$G$19=Anmeldung!$G$42,Anmeldung!$J$19=Anmeldung!$J$42),Anmeldung!$B$19&amp;": "&amp;Anmeldung!$D$19&amp;", "&amp;Anmeldung!$E$19&amp;" / "&amp;Anmeldung!$G$19&amp;" / "&amp;Anmeldung!$J$19,"")</f>
        <v/>
      </c>
      <c r="GS6" t="str">
        <f>IF(AND(12&lt;&gt;36,Anmeldung!$D$19&lt;&gt;"",Anmeldung!$G$19=Anmeldung!$G$43,Anmeldung!$J$19=Anmeldung!$J$43),Anmeldung!$B$19&amp;": "&amp;Anmeldung!$D$19&amp;", "&amp;Anmeldung!$E$19&amp;" / "&amp;Anmeldung!$G$19&amp;" / "&amp;Anmeldung!$J$19,"")</f>
        <v/>
      </c>
      <c r="GT6" t="str">
        <f>IF(AND(12&lt;&gt;36,Anmeldung!$D$19&lt;&gt;"",Anmeldung!$G$19=Anmeldung!$G$43,Anmeldung!$J$19=Anmeldung!$J$43,(Anmeldung!$B$19&amp;": "&amp;Anmeldung!$D$19&amp;", "&amp;Anmeldung!$E$19&amp;" / "&amp;Anmeldung!$G$19&amp;" / "&amp;Anmeldung!$J$19)&lt;&gt;Anmeldung!$P$43),Anmeldung!$B$19&amp;": "&amp;Anmeldung!$D$19&amp;", "&amp;Anmeldung!$E$19&amp;" / "&amp;Anmeldung!$G$19&amp;" / "&amp;Anmeldung!$J$19,"")</f>
        <v/>
      </c>
      <c r="GU6" t="str">
        <f>IF(AND(12&lt;&gt;36,Anmeldung!$D$19&lt;&gt;"",Anmeldung!$G$19=Anmeldung!$G$43,Anmeldung!$J$19=Anmeldung!$J$43,(Anmeldung!$B$19&amp;": "&amp;Anmeldung!$D$19&amp;", "&amp;Anmeldung!$E$19&amp;" / "&amp;Anmeldung!$G$19&amp;" / "&amp;Anmeldung!$J$19)&lt;&gt;Anmeldung!$O$43),Anmeldung!$B$19&amp;": "&amp;Anmeldung!$D$19&amp;", "&amp;Anmeldung!$E$19&amp;" / "&amp;Anmeldung!$G$19&amp;" / "&amp;Anmeldung!$J$19,"")</f>
        <v/>
      </c>
      <c r="GV6" t="str">
        <f>IF(AND(12&lt;&gt;36,Anmeldung!$D$19&lt;&gt;"",Anmeldung!$G$19&lt;&gt;Anmeldung!$G$43,(Anmeldung!$B$19&amp;": "&amp;Anmeldung!$D$19&amp;", "&amp;Anmeldung!$E$19&amp;" / "&amp;Anmeldung!$G$19&amp;" / "&amp;Anmeldung!$J$19)&lt;&gt;Anmeldung!$S$43),Anmeldung!$B$19&amp;": "&amp;Anmeldung!$D$19&amp;", "&amp;Anmeldung!$E$19&amp;" / "&amp;Anmeldung!$G$19&amp;" / "&amp;Anmeldung!$J$19,"")</f>
        <v/>
      </c>
      <c r="GW6" t="str">
        <f>IF(AND(12&lt;&gt;36,Anmeldung!$D$19&lt;&gt;"",(Anmeldung!$B$19&amp;": "&amp;Anmeldung!$D$19&amp;", "&amp;Anmeldung!$E$19&amp;" / "&amp;Anmeldung!$G$19&amp;" / "&amp;Anmeldung!$J$19)&lt;&gt;Anmeldung!$R$43),Anmeldung!$B$19&amp;": "&amp;Anmeldung!$D$19&amp;", "&amp;Anmeldung!$E$19&amp;" / "&amp;Anmeldung!$G$19&amp;" / "&amp;Anmeldung!$J$19,"")</f>
        <v/>
      </c>
      <c r="GX6" t="str">
        <f>IF(AND(11&lt;&gt;35,Anmeldung!$D$19&lt;&gt;"",Anmeldung!$U$19="Ja",Anmeldung!$G$19=Anmeldung!$G$43,Anmeldung!$J$19=Anmeldung!$J$43),Anmeldung!$B$19&amp;": "&amp;Anmeldung!$D$19&amp;", "&amp;Anmeldung!$E$19&amp;" / "&amp;Anmeldung!$G$19&amp;" / "&amp;Anmeldung!$J$19,"")</f>
        <v/>
      </c>
      <c r="HA6" t="str">
        <f>IF(AND(12&lt;&gt;37,Anmeldung!$D$19&lt;&gt;"",Anmeldung!$G$19=Anmeldung!$G$44,Anmeldung!$J$19=Anmeldung!$J$44),Anmeldung!$B$19&amp;": "&amp;Anmeldung!$D$19&amp;", "&amp;Anmeldung!$E$19&amp;" / "&amp;Anmeldung!$G$19&amp;" / "&amp;Anmeldung!$J$19,"")</f>
        <v/>
      </c>
      <c r="HB6" t="str">
        <f>IF(AND(12&lt;&gt;37,Anmeldung!$D$19&lt;&gt;"",Anmeldung!$G$19=Anmeldung!$G$44,Anmeldung!$J$19=Anmeldung!$J$44,(Anmeldung!$B$19&amp;": "&amp;Anmeldung!$D$19&amp;", "&amp;Anmeldung!$E$19&amp;" / "&amp;Anmeldung!$G$19&amp;" / "&amp;Anmeldung!$J$19)&lt;&gt;Anmeldung!$P$44),Anmeldung!$B$19&amp;": "&amp;Anmeldung!$D$19&amp;", "&amp;Anmeldung!$E$19&amp;" / "&amp;Anmeldung!$G$19&amp;" / "&amp;Anmeldung!$J$19,"")</f>
        <v/>
      </c>
      <c r="HC6" t="str">
        <f>IF(AND(12&lt;&gt;37,Anmeldung!$D$19&lt;&gt;"",Anmeldung!$G$19=Anmeldung!$G$44,Anmeldung!$J$19=Anmeldung!$J$44,(Anmeldung!$B$19&amp;": "&amp;Anmeldung!$D$19&amp;", "&amp;Anmeldung!$E$19&amp;" / "&amp;Anmeldung!$G$19&amp;" / "&amp;Anmeldung!$J$19)&lt;&gt;Anmeldung!$O$44),Anmeldung!$B$19&amp;": "&amp;Anmeldung!$D$19&amp;", "&amp;Anmeldung!$E$19&amp;" / "&amp;Anmeldung!$G$19&amp;" / "&amp;Anmeldung!$J$19,"")</f>
        <v/>
      </c>
      <c r="HD6" t="str">
        <f>IF(AND(12&lt;&gt;37,Anmeldung!$D$19&lt;&gt;"",Anmeldung!$G$19&lt;&gt;Anmeldung!$G$44,(Anmeldung!$B$19&amp;": "&amp;Anmeldung!$D$19&amp;", "&amp;Anmeldung!$E$19&amp;" / "&amp;Anmeldung!$G$19&amp;" / "&amp;Anmeldung!$J$19)&lt;&gt;Anmeldung!$S$44),Anmeldung!$B$19&amp;": "&amp;Anmeldung!$D$19&amp;", "&amp;Anmeldung!$E$19&amp;" / "&amp;Anmeldung!$G$19&amp;" / "&amp;Anmeldung!$J$19,"")</f>
        <v/>
      </c>
      <c r="HE6" t="str">
        <f>IF(AND(12&lt;&gt;37,Anmeldung!$D$19&lt;&gt;"",(Anmeldung!$B$19&amp;": "&amp;Anmeldung!$D$19&amp;", "&amp;Anmeldung!$E$19&amp;" / "&amp;Anmeldung!$G$19&amp;" / "&amp;Anmeldung!$J$19)&lt;&gt;Anmeldung!$R$44),Anmeldung!$B$19&amp;": "&amp;Anmeldung!$D$19&amp;", "&amp;Anmeldung!$E$19&amp;" / "&amp;Anmeldung!$G$19&amp;" / "&amp;Anmeldung!$J$19,"")</f>
        <v/>
      </c>
      <c r="HF6" t="str">
        <f>IF(AND(11&lt;&gt;36,Anmeldung!$D$19&lt;&gt;"",Anmeldung!$U$19="Ja",Anmeldung!$G$19=Anmeldung!$G$44,Anmeldung!$J$19=Anmeldung!$J$44),Anmeldung!$B$19&amp;": "&amp;Anmeldung!$D$19&amp;", "&amp;Anmeldung!$E$19&amp;" / "&amp;Anmeldung!$G$19&amp;" / "&amp;Anmeldung!$J$19,"")</f>
        <v/>
      </c>
      <c r="HI6" t="str">
        <f>IF(AND(12&lt;&gt;38,Anmeldung!$D$19&lt;&gt;"",Anmeldung!$G$19=Anmeldung!$G$45,Anmeldung!$J$19=Anmeldung!$J$45),Anmeldung!$B$19&amp;": "&amp;Anmeldung!$D$19&amp;", "&amp;Anmeldung!$E$19&amp;" / "&amp;Anmeldung!$G$19&amp;" / "&amp;Anmeldung!$J$19,"")</f>
        <v/>
      </c>
      <c r="HJ6" t="str">
        <f>IF(AND(12&lt;&gt;38,Anmeldung!$D$19&lt;&gt;"",Anmeldung!$G$19=Anmeldung!$G$45,Anmeldung!$J$19=Anmeldung!$J$45,(Anmeldung!$B$19&amp;": "&amp;Anmeldung!$D$19&amp;", "&amp;Anmeldung!$E$19&amp;" / "&amp;Anmeldung!$G$19&amp;" / "&amp;Anmeldung!$J$19)&lt;&gt;Anmeldung!$P$45),Anmeldung!$B$19&amp;": "&amp;Anmeldung!$D$19&amp;", "&amp;Anmeldung!$E$19&amp;" / "&amp;Anmeldung!$G$19&amp;" / "&amp;Anmeldung!$J$19,"")</f>
        <v/>
      </c>
      <c r="HK6" t="str">
        <f>IF(AND(12&lt;&gt;38,Anmeldung!$D$19&lt;&gt;"",Anmeldung!$G$19=Anmeldung!$G$45,Anmeldung!$J$19=Anmeldung!$J$45,(Anmeldung!$B$19&amp;": "&amp;Anmeldung!$D$19&amp;", "&amp;Anmeldung!$E$19&amp;" / "&amp;Anmeldung!$G$19&amp;" / "&amp;Anmeldung!$J$19)&lt;&gt;Anmeldung!$O$45),Anmeldung!$B$19&amp;": "&amp;Anmeldung!$D$19&amp;", "&amp;Anmeldung!$E$19&amp;" / "&amp;Anmeldung!$G$19&amp;" / "&amp;Anmeldung!$J$19,"")</f>
        <v/>
      </c>
      <c r="HL6" t="str">
        <f>IF(AND(12&lt;&gt;38,Anmeldung!$D$19&lt;&gt;"",Anmeldung!$G$19&lt;&gt;Anmeldung!$G$45,(Anmeldung!$B$19&amp;": "&amp;Anmeldung!$D$19&amp;", "&amp;Anmeldung!$E$19&amp;" / "&amp;Anmeldung!$G$19&amp;" / "&amp;Anmeldung!$J$19)&lt;&gt;Anmeldung!$S$45),Anmeldung!$B$19&amp;": "&amp;Anmeldung!$D$19&amp;", "&amp;Anmeldung!$E$19&amp;" / "&amp;Anmeldung!$G$19&amp;" / "&amp;Anmeldung!$J$19,"")</f>
        <v/>
      </c>
      <c r="HM6" t="str">
        <f>IF(AND(12&lt;&gt;38,Anmeldung!$D$19&lt;&gt;"",(Anmeldung!$B$19&amp;": "&amp;Anmeldung!$D$19&amp;", "&amp;Anmeldung!$E$19&amp;" / "&amp;Anmeldung!$G$19&amp;" / "&amp;Anmeldung!$J$19)&lt;&gt;Anmeldung!$R$45),Anmeldung!$B$19&amp;": "&amp;Anmeldung!$D$19&amp;", "&amp;Anmeldung!$E$19&amp;" / "&amp;Anmeldung!$G$19&amp;" / "&amp;Anmeldung!$J$19,"")</f>
        <v/>
      </c>
      <c r="HN6" t="str">
        <f>IF(AND(11&lt;&gt;37,Anmeldung!$D$19&lt;&gt;"",Anmeldung!$U$19="Ja",Anmeldung!$G$19=Anmeldung!$G$45,Anmeldung!$J$19=Anmeldung!$J$45),Anmeldung!$B$19&amp;": "&amp;Anmeldung!$D$19&amp;", "&amp;Anmeldung!$E$19&amp;" / "&amp;Anmeldung!$G$19&amp;" / "&amp;Anmeldung!$J$19,"")</f>
        <v/>
      </c>
      <c r="HQ6" t="str">
        <f>IF(AND(12&lt;&gt;39,Anmeldung!$D$19&lt;&gt;"",Anmeldung!$G$19=Anmeldung!$G$46,Anmeldung!$J$19=Anmeldung!$J$46),Anmeldung!$B$19&amp;": "&amp;Anmeldung!$D$19&amp;", "&amp;Anmeldung!$E$19&amp;" / "&amp;Anmeldung!$G$19&amp;" / "&amp;Anmeldung!$J$19,"")</f>
        <v/>
      </c>
      <c r="HR6" t="str">
        <f>IF(AND(12&lt;&gt;39,Anmeldung!$D$19&lt;&gt;"",Anmeldung!$G$19=Anmeldung!$G$46,Anmeldung!$J$19=Anmeldung!$J$46,(Anmeldung!$B$19&amp;": "&amp;Anmeldung!$D$19&amp;", "&amp;Anmeldung!$E$19&amp;" / "&amp;Anmeldung!$G$19&amp;" / "&amp;Anmeldung!$J$19)&lt;&gt;Anmeldung!$P$46),Anmeldung!$B$19&amp;": "&amp;Anmeldung!$D$19&amp;", "&amp;Anmeldung!$E$19&amp;" / "&amp;Anmeldung!$G$19&amp;" / "&amp;Anmeldung!$J$19,"")</f>
        <v/>
      </c>
      <c r="HS6" t="str">
        <f>IF(AND(12&lt;&gt;39,Anmeldung!$D$19&lt;&gt;"",Anmeldung!$G$19=Anmeldung!$G$46,Anmeldung!$J$19=Anmeldung!$J$46,(Anmeldung!$B$19&amp;": "&amp;Anmeldung!$D$19&amp;", "&amp;Anmeldung!$E$19&amp;" / "&amp;Anmeldung!$G$19&amp;" / "&amp;Anmeldung!$J$19)&lt;&gt;Anmeldung!$O$46),Anmeldung!$B$19&amp;": "&amp;Anmeldung!$D$19&amp;", "&amp;Anmeldung!$E$19&amp;" / "&amp;Anmeldung!$G$19&amp;" / "&amp;Anmeldung!$J$19,"")</f>
        <v/>
      </c>
      <c r="HT6" t="str">
        <f>IF(AND(12&lt;&gt;39,Anmeldung!$D$19&lt;&gt;"",Anmeldung!$G$19&lt;&gt;Anmeldung!$G$46,(Anmeldung!$B$19&amp;": "&amp;Anmeldung!$D$19&amp;", "&amp;Anmeldung!$E$19&amp;" / "&amp;Anmeldung!$G$19&amp;" / "&amp;Anmeldung!$J$19)&lt;&gt;Anmeldung!$S$46),Anmeldung!$B$19&amp;": "&amp;Anmeldung!$D$19&amp;", "&amp;Anmeldung!$E$19&amp;" / "&amp;Anmeldung!$G$19&amp;" / "&amp;Anmeldung!$J$19,"")</f>
        <v/>
      </c>
      <c r="HU6" t="str">
        <f>IF(AND(12&lt;&gt;39,Anmeldung!$D$19&lt;&gt;"",(Anmeldung!$B$19&amp;": "&amp;Anmeldung!$D$19&amp;", "&amp;Anmeldung!$E$19&amp;" / "&amp;Anmeldung!$G$19&amp;" / "&amp;Anmeldung!$J$19)&lt;&gt;Anmeldung!$R$46),Anmeldung!$B$19&amp;": "&amp;Anmeldung!$D$19&amp;", "&amp;Anmeldung!$E$19&amp;" / "&amp;Anmeldung!$G$19&amp;" / "&amp;Anmeldung!$J$19,"")</f>
        <v/>
      </c>
      <c r="HV6" t="str">
        <f>IF(AND(11&lt;&gt;38,Anmeldung!$D$19&lt;&gt;"",Anmeldung!$U$19="Ja",Anmeldung!$G$19=Anmeldung!$G$46,Anmeldung!$J$19=Anmeldung!$J$46),Anmeldung!$B$19&amp;": "&amp;Anmeldung!$D$19&amp;", "&amp;Anmeldung!$E$19&amp;" / "&amp;Anmeldung!$G$19&amp;" / "&amp;Anmeldung!$J$19,"")</f>
        <v/>
      </c>
      <c r="HY6" t="str">
        <f>IF(AND(12&lt;&gt;40,Anmeldung!$D$19&lt;&gt;"",Anmeldung!$G$19=Anmeldung!$G$47,Anmeldung!$J$19=Anmeldung!$J$47),Anmeldung!$B$19&amp;": "&amp;Anmeldung!$D$19&amp;", "&amp;Anmeldung!$E$19&amp;" / "&amp;Anmeldung!$G$19&amp;" / "&amp;Anmeldung!$J$19,"")</f>
        <v/>
      </c>
      <c r="HZ6" t="str">
        <f>IF(AND(12&lt;&gt;40,Anmeldung!$D$19&lt;&gt;"",Anmeldung!$G$19=Anmeldung!$G$47,Anmeldung!$J$19=Anmeldung!$J$47,(Anmeldung!$B$19&amp;": "&amp;Anmeldung!$D$19&amp;", "&amp;Anmeldung!$E$19&amp;" / "&amp;Anmeldung!$G$19&amp;" / "&amp;Anmeldung!$J$19)&lt;&gt;Anmeldung!$P$47),Anmeldung!$B$19&amp;": "&amp;Anmeldung!$D$19&amp;", "&amp;Anmeldung!$E$19&amp;" / "&amp;Anmeldung!$G$19&amp;" / "&amp;Anmeldung!$J$19,"")</f>
        <v/>
      </c>
      <c r="IA6" t="str">
        <f>IF(AND(12&lt;&gt;40,Anmeldung!$D$19&lt;&gt;"",Anmeldung!$G$19=Anmeldung!$G$47,Anmeldung!$J$19=Anmeldung!$J$47,(Anmeldung!$B$19&amp;": "&amp;Anmeldung!$D$19&amp;", "&amp;Anmeldung!$E$19&amp;" / "&amp;Anmeldung!$G$19&amp;" / "&amp;Anmeldung!$J$19)&lt;&gt;Anmeldung!$O$47),Anmeldung!$B$19&amp;": "&amp;Anmeldung!$D$19&amp;", "&amp;Anmeldung!$E$19&amp;" / "&amp;Anmeldung!$G$19&amp;" / "&amp;Anmeldung!$J$19,"")</f>
        <v/>
      </c>
      <c r="IB6" t="str">
        <f>IF(AND(12&lt;&gt;40,Anmeldung!$D$19&lt;&gt;"",Anmeldung!$G$19&lt;&gt;Anmeldung!$G$47,(Anmeldung!$B$19&amp;": "&amp;Anmeldung!$D$19&amp;", "&amp;Anmeldung!$E$19&amp;" / "&amp;Anmeldung!$G$19&amp;" / "&amp;Anmeldung!$J$19)&lt;&gt;Anmeldung!$S$47),Anmeldung!$B$19&amp;": "&amp;Anmeldung!$D$19&amp;", "&amp;Anmeldung!$E$19&amp;" / "&amp;Anmeldung!$G$19&amp;" / "&amp;Anmeldung!$J$19,"")</f>
        <v/>
      </c>
      <c r="IC6" t="str">
        <f>IF(AND(12&lt;&gt;40,Anmeldung!$D$19&lt;&gt;"",(Anmeldung!$B$19&amp;": "&amp;Anmeldung!$D$19&amp;", "&amp;Anmeldung!$E$19&amp;" / "&amp;Anmeldung!$G$19&amp;" / "&amp;Anmeldung!$J$19)&lt;&gt;Anmeldung!$R$47),Anmeldung!$B$19&amp;": "&amp;Anmeldung!$D$19&amp;", "&amp;Anmeldung!$E$19&amp;" / "&amp;Anmeldung!$G$19&amp;" / "&amp;Anmeldung!$J$19,"")</f>
        <v/>
      </c>
      <c r="ID6" t="str">
        <f>IF(AND(11&lt;&gt;39,Anmeldung!$D$19&lt;&gt;"",Anmeldung!$U$19="Ja",Anmeldung!$G$19=Anmeldung!$G$47,Anmeldung!$J$19=Anmeldung!$J$47),Anmeldung!$B$19&amp;": "&amp;Anmeldung!$D$19&amp;", "&amp;Anmeldung!$E$19&amp;" / "&amp;Anmeldung!$G$19&amp;" / "&amp;Anmeldung!$J$19,"")</f>
        <v/>
      </c>
    </row>
    <row r="7" spans="1:238" ht="14.25" customHeight="1" x14ac:dyDescent="0.3">
      <c r="A7" t="str">
        <f>IF(AND(13&lt;&gt;11,Anmeldung!$D$20&lt;&gt;"",Anmeldung!$G$20=Anmeldung!$G$18,Anmeldung!$J$20=Anmeldung!$J$18),Anmeldung!$B$20&amp;": "&amp;Anmeldung!$D$20&amp;", "&amp;Anmeldung!$E$20&amp;" / "&amp;Anmeldung!$G$20&amp;" / "&amp;Anmeldung!$J$20,"")</f>
        <v/>
      </c>
      <c r="B7" t="str">
        <f>IF(AND(13&lt;&gt;11,Anmeldung!$D$20&lt;&gt;"",Anmeldung!$G$20=Anmeldung!$G$18,Anmeldung!$J$20=Anmeldung!$J$18,(Anmeldung!$B$20&amp;": "&amp;Anmeldung!$D$20&amp;", "&amp;Anmeldung!$E$20&amp;" / "&amp;Anmeldung!$G$20&amp;" / "&amp;Anmeldung!$J$20)&lt;&gt;Anmeldung!$P$18),Anmeldung!$B$20&amp;": "&amp;Anmeldung!$D$20&amp;", "&amp;Anmeldung!$E$20&amp;" / "&amp;Anmeldung!$G$20&amp;" / "&amp;Anmeldung!$J$20,"")</f>
        <v/>
      </c>
      <c r="C7" t="str">
        <f>IF(AND(13&lt;&gt;11,Anmeldung!$D$20&lt;&gt;"",Anmeldung!$G$20=Anmeldung!$G$18,Anmeldung!$J$20=Anmeldung!$J$18,(Anmeldung!$B$20&amp;": "&amp;Anmeldung!$D$20&amp;", "&amp;Anmeldung!$E$20&amp;" / "&amp;Anmeldung!$G$20&amp;" / "&amp;Anmeldung!$J$20)&lt;&gt;Anmeldung!$O$18),Anmeldung!$B$20&amp;": "&amp;Anmeldung!$D$20&amp;", "&amp;Anmeldung!$E$20&amp;" / "&amp;Anmeldung!$G$20&amp;" / "&amp;Anmeldung!$J$20,"")</f>
        <v/>
      </c>
      <c r="D7" t="str">
        <f>IF(AND(13&lt;&gt;11,Anmeldung!$D$20&lt;&gt;"",Anmeldung!$G$20&lt;&gt;Anmeldung!$G$18,(Anmeldung!$B$20&amp;": "&amp;Anmeldung!$D$20&amp;", "&amp;Anmeldung!$E$20&amp;" / "&amp;Anmeldung!$G$20&amp;" / "&amp;Anmeldung!$J$20)&lt;&gt;Anmeldung!$S$18),Anmeldung!$B$20&amp;": "&amp;Anmeldung!$D$20&amp;", "&amp;Anmeldung!$E$20&amp;" / "&amp;Anmeldung!$G$20&amp;" / "&amp;Anmeldung!$J$20,"")</f>
        <v/>
      </c>
      <c r="E7" t="str">
        <f>IF(AND(13&lt;&gt;11,Anmeldung!$D$20&lt;&gt;"",(Anmeldung!$B$20&amp;": "&amp;Anmeldung!$D$20&amp;", "&amp;Anmeldung!$E$20&amp;" / "&amp;Anmeldung!$G$20&amp;" / "&amp;Anmeldung!$J$20)&lt;&gt;Anmeldung!$R$18),Anmeldung!$B$20&amp;": "&amp;Anmeldung!$D$20&amp;", "&amp;Anmeldung!$E$20&amp;" / "&amp;Anmeldung!$G$20&amp;" / "&amp;Anmeldung!$J$20,"")</f>
        <v/>
      </c>
      <c r="F7" t="str">
        <f>IF(AND(12&lt;&gt;10,Anmeldung!$D$20&lt;&gt;"",Anmeldung!$U$20="Ja",Anmeldung!$G$20=Anmeldung!$G$18,Anmeldung!$J$20=Anmeldung!$J$18),Anmeldung!$B$20&amp;": "&amp;Anmeldung!$D$20&amp;", "&amp;Anmeldung!$E$20&amp;" / "&amp;Anmeldung!$G$20&amp;" / "&amp;Anmeldung!$J$20,"")</f>
        <v/>
      </c>
      <c r="I7" t="str">
        <f>IF(AND(13&lt;&gt;12,Anmeldung!$D$20&lt;&gt;"",Anmeldung!$G$20=Anmeldung!$G$19,Anmeldung!$J$20=Anmeldung!$J$19),Anmeldung!$B$20&amp;": "&amp;Anmeldung!$D$20&amp;", "&amp;Anmeldung!$E$20&amp;" / "&amp;Anmeldung!$G$20&amp;" / "&amp;Anmeldung!$J$20,"")</f>
        <v/>
      </c>
      <c r="J7" t="str">
        <f>IF(AND(13&lt;&gt;12,Anmeldung!$D$20&lt;&gt;"",Anmeldung!$G$20=Anmeldung!$G$19,Anmeldung!$J$20=Anmeldung!$J$19,(Anmeldung!$B$20&amp;": "&amp;Anmeldung!$D$20&amp;", "&amp;Anmeldung!$E$20&amp;" / "&amp;Anmeldung!$G$20&amp;" / "&amp;Anmeldung!$J$20)&lt;&gt;Anmeldung!$P$19),Anmeldung!$B$20&amp;": "&amp;Anmeldung!$D$20&amp;", "&amp;Anmeldung!$E$20&amp;" / "&amp;Anmeldung!$G$20&amp;" / "&amp;Anmeldung!$J$20,"")</f>
        <v/>
      </c>
      <c r="K7" t="str">
        <f>IF(AND(13&lt;&gt;12,Anmeldung!$D$20&lt;&gt;"",Anmeldung!$G$20=Anmeldung!$G$19,Anmeldung!$J$20=Anmeldung!$J$19,(Anmeldung!$B$20&amp;": "&amp;Anmeldung!$D$20&amp;", "&amp;Anmeldung!$E$20&amp;" / "&amp;Anmeldung!$G$20&amp;" / "&amp;Anmeldung!$J$20)&lt;&gt;Anmeldung!$O$19),Anmeldung!$B$20&amp;": "&amp;Anmeldung!$D$20&amp;", "&amp;Anmeldung!$E$20&amp;" / "&amp;Anmeldung!$G$20&amp;" / "&amp;Anmeldung!$J$20,"")</f>
        <v/>
      </c>
      <c r="L7" t="str">
        <f>IF(AND(13&lt;&gt;12,Anmeldung!$D$20&lt;&gt;"",Anmeldung!$G$20&lt;&gt;Anmeldung!$G$19,(Anmeldung!$B$20&amp;": "&amp;Anmeldung!$D$20&amp;", "&amp;Anmeldung!$E$20&amp;" / "&amp;Anmeldung!$G$20&amp;" / "&amp;Anmeldung!$J$20)&lt;&gt;Anmeldung!$S$19),Anmeldung!$B$20&amp;": "&amp;Anmeldung!$D$20&amp;", "&amp;Anmeldung!$E$20&amp;" / "&amp;Anmeldung!$G$20&amp;" / "&amp;Anmeldung!$J$20,"")</f>
        <v/>
      </c>
      <c r="M7" t="str">
        <f>IF(AND(13&lt;&gt;12,Anmeldung!$D$20&lt;&gt;"",(Anmeldung!$B$20&amp;": "&amp;Anmeldung!$D$20&amp;", "&amp;Anmeldung!$E$20&amp;" / "&amp;Anmeldung!$G$20&amp;" / "&amp;Anmeldung!$J$20)&lt;&gt;Anmeldung!$R$19),Anmeldung!$B$20&amp;": "&amp;Anmeldung!$D$20&amp;", "&amp;Anmeldung!$E$20&amp;" / "&amp;Anmeldung!$G$20&amp;" / "&amp;Anmeldung!$J$20,"")</f>
        <v/>
      </c>
      <c r="N7" t="str">
        <f>IF(AND(12&lt;&gt;11,Anmeldung!$D$20&lt;&gt;"",Anmeldung!$U$20="Ja",Anmeldung!$G$20=Anmeldung!$G$19,Anmeldung!$J$20=Anmeldung!$J$19),Anmeldung!$B$20&amp;": "&amp;Anmeldung!$D$20&amp;", "&amp;Anmeldung!$E$20&amp;" / "&amp;Anmeldung!$G$20&amp;" / "&amp;Anmeldung!$J$20,"")</f>
        <v/>
      </c>
      <c r="Q7" t="str">
        <f>IF(AND(13&lt;&gt;13,Anmeldung!$D$20&lt;&gt;"",Anmeldung!$G$20=Anmeldung!$G$20,Anmeldung!$J$20=Anmeldung!$J$20),Anmeldung!$B$20&amp;": "&amp;Anmeldung!$D$20&amp;", "&amp;Anmeldung!$E$20&amp;" / "&amp;Anmeldung!$G$20&amp;" / "&amp;Anmeldung!$J$20,"")</f>
        <v/>
      </c>
      <c r="R7" t="str">
        <f>IF(AND(13&lt;&gt;13,Anmeldung!$D$20&lt;&gt;"",Anmeldung!$G$20=Anmeldung!$G$20,Anmeldung!$J$20=Anmeldung!$J$20,(Anmeldung!$B$20&amp;": "&amp;Anmeldung!$D$20&amp;", "&amp;Anmeldung!$E$20&amp;" / "&amp;Anmeldung!$G$20&amp;" / "&amp;Anmeldung!$J$20)&lt;&gt;Anmeldung!$P$20),Anmeldung!$B$20&amp;": "&amp;Anmeldung!$D$20&amp;", "&amp;Anmeldung!$E$20&amp;" / "&amp;Anmeldung!$G$20&amp;" / "&amp;Anmeldung!$J$20,"")</f>
        <v/>
      </c>
      <c r="S7" t="str">
        <f>IF(AND(13&lt;&gt;13,Anmeldung!$D$20&lt;&gt;"",Anmeldung!$G$20=Anmeldung!$G$20,Anmeldung!$J$20=Anmeldung!$J$20,(Anmeldung!$B$20&amp;": "&amp;Anmeldung!$D$20&amp;", "&amp;Anmeldung!$E$20&amp;" / "&amp;Anmeldung!$G$20&amp;" / "&amp;Anmeldung!$J$20)&lt;&gt;Anmeldung!$O$20),Anmeldung!$B$20&amp;": "&amp;Anmeldung!$D$20&amp;", "&amp;Anmeldung!$E$20&amp;" / "&amp;Anmeldung!$G$20&amp;" / "&amp;Anmeldung!$J$20,"")</f>
        <v/>
      </c>
      <c r="T7" t="str">
        <f>IF(AND(13&lt;&gt;13,Anmeldung!$D$20&lt;&gt;"",Anmeldung!$G$20&lt;&gt;Anmeldung!$G$20,(Anmeldung!$B$20&amp;": "&amp;Anmeldung!$D$20&amp;", "&amp;Anmeldung!$E$20&amp;" / "&amp;Anmeldung!$G$20&amp;" / "&amp;Anmeldung!$J$20)&lt;&gt;Anmeldung!$S$20),Anmeldung!$B$20&amp;": "&amp;Anmeldung!$D$20&amp;", "&amp;Anmeldung!$E$20&amp;" / "&amp;Anmeldung!$G$20&amp;" / "&amp;Anmeldung!$J$20,"")</f>
        <v/>
      </c>
      <c r="U7" t="str">
        <f>IF(AND(13&lt;&gt;13,Anmeldung!$D$20&lt;&gt;"",(Anmeldung!$B$20&amp;": "&amp;Anmeldung!$D$20&amp;", "&amp;Anmeldung!$E$20&amp;" / "&amp;Anmeldung!$G$20&amp;" / "&amp;Anmeldung!$J$20)&lt;&gt;Anmeldung!$R$20),Anmeldung!$B$20&amp;": "&amp;Anmeldung!$D$20&amp;", "&amp;Anmeldung!$E$20&amp;" / "&amp;Anmeldung!$G$20&amp;" / "&amp;Anmeldung!$J$20,"")</f>
        <v/>
      </c>
      <c r="V7" t="str">
        <f>IF(AND(12&lt;&gt;12,Anmeldung!$D$20&lt;&gt;"",Anmeldung!$U$20="Ja",Anmeldung!$G$20=Anmeldung!$G$20,Anmeldung!$J$20=Anmeldung!$J$20),Anmeldung!$B$20&amp;": "&amp;Anmeldung!$D$20&amp;", "&amp;Anmeldung!$E$20&amp;" / "&amp;Anmeldung!$G$20&amp;" / "&amp;Anmeldung!$J$20,"")</f>
        <v/>
      </c>
      <c r="Y7" t="str">
        <f>IF(AND(13&lt;&gt;14,Anmeldung!$D$20&lt;&gt;"",Anmeldung!$G$20=Anmeldung!$G$21,Anmeldung!$J$20=Anmeldung!$J$21),Anmeldung!$B$20&amp;": "&amp;Anmeldung!$D$20&amp;", "&amp;Anmeldung!$E$20&amp;" / "&amp;Anmeldung!$G$20&amp;" / "&amp;Anmeldung!$J$20,"")</f>
        <v/>
      </c>
      <c r="Z7" t="str">
        <f>IF(AND(13&lt;&gt;14,Anmeldung!$D$20&lt;&gt;"",Anmeldung!$G$20=Anmeldung!$G$21,Anmeldung!$J$20=Anmeldung!$J$21,(Anmeldung!$B$20&amp;": "&amp;Anmeldung!$D$20&amp;", "&amp;Anmeldung!$E$20&amp;" / "&amp;Anmeldung!$G$20&amp;" / "&amp;Anmeldung!$J$20)&lt;&gt;Anmeldung!$P$21),Anmeldung!$B$20&amp;": "&amp;Anmeldung!$D$20&amp;", "&amp;Anmeldung!$E$20&amp;" / "&amp;Anmeldung!$G$20&amp;" / "&amp;Anmeldung!$J$20,"")</f>
        <v/>
      </c>
      <c r="AA7" t="str">
        <f>IF(AND(13&lt;&gt;14,Anmeldung!$D$20&lt;&gt;"",Anmeldung!$G$20=Anmeldung!$G$21,Anmeldung!$J$20=Anmeldung!$J$21,(Anmeldung!$B$20&amp;": "&amp;Anmeldung!$D$20&amp;", "&amp;Anmeldung!$E$20&amp;" / "&amp;Anmeldung!$G$20&amp;" / "&amp;Anmeldung!$J$20)&lt;&gt;Anmeldung!$O$21),Anmeldung!$B$20&amp;": "&amp;Anmeldung!$D$20&amp;", "&amp;Anmeldung!$E$20&amp;" / "&amp;Anmeldung!$G$20&amp;" / "&amp;Anmeldung!$J$20,"")</f>
        <v/>
      </c>
      <c r="AB7" t="str">
        <f>IF(AND(13&lt;&gt;14,Anmeldung!$D$20&lt;&gt;"",Anmeldung!$G$20&lt;&gt;Anmeldung!$G$21,(Anmeldung!$B$20&amp;": "&amp;Anmeldung!$D$20&amp;", "&amp;Anmeldung!$E$20&amp;" / "&amp;Anmeldung!$G$20&amp;" / "&amp;Anmeldung!$J$20)&lt;&gt;Anmeldung!$S$21),Anmeldung!$B$20&amp;": "&amp;Anmeldung!$D$20&amp;", "&amp;Anmeldung!$E$20&amp;" / "&amp;Anmeldung!$G$20&amp;" / "&amp;Anmeldung!$J$20,"")</f>
        <v/>
      </c>
      <c r="AC7" t="str">
        <f>IF(AND(13&lt;&gt;14,Anmeldung!$D$20&lt;&gt;"",(Anmeldung!$B$20&amp;": "&amp;Anmeldung!$D$20&amp;", "&amp;Anmeldung!$E$20&amp;" / "&amp;Anmeldung!$G$20&amp;" / "&amp;Anmeldung!$J$20)&lt;&gt;Anmeldung!$R$21),Anmeldung!$B$20&amp;": "&amp;Anmeldung!$D$20&amp;", "&amp;Anmeldung!$E$20&amp;" / "&amp;Anmeldung!$G$20&amp;" / "&amp;Anmeldung!$J$20,"")</f>
        <v/>
      </c>
      <c r="AD7" t="str">
        <f>IF(AND(12&lt;&gt;13,Anmeldung!$D$20&lt;&gt;"",Anmeldung!$U$20="Ja",Anmeldung!$G$20=Anmeldung!$G$21,Anmeldung!$J$20=Anmeldung!$J$21),Anmeldung!$B$20&amp;": "&amp;Anmeldung!$D$20&amp;", "&amp;Anmeldung!$E$20&amp;" / "&amp;Anmeldung!$G$20&amp;" / "&amp;Anmeldung!$J$20,"")</f>
        <v/>
      </c>
      <c r="AG7" t="str">
        <f>IF(AND(13&lt;&gt;15,Anmeldung!$D$20&lt;&gt;"",Anmeldung!$G$20=Anmeldung!$G$22,Anmeldung!$J$20=Anmeldung!$J$22),Anmeldung!$B$20&amp;": "&amp;Anmeldung!$D$20&amp;", "&amp;Anmeldung!$E$20&amp;" / "&amp;Anmeldung!$G$20&amp;" / "&amp;Anmeldung!$J$20,"")</f>
        <v/>
      </c>
      <c r="AH7" t="str">
        <f>IF(AND(13&lt;&gt;15,Anmeldung!$D$20&lt;&gt;"",Anmeldung!$G$20=Anmeldung!$G$22,Anmeldung!$J$20=Anmeldung!$J$22,(Anmeldung!$B$20&amp;": "&amp;Anmeldung!$D$20&amp;", "&amp;Anmeldung!$E$20&amp;" / "&amp;Anmeldung!$G$20&amp;" / "&amp;Anmeldung!$J$20)&lt;&gt;Anmeldung!$P$22),Anmeldung!$B$20&amp;": "&amp;Anmeldung!$D$20&amp;", "&amp;Anmeldung!$E$20&amp;" / "&amp;Anmeldung!$G$20&amp;" / "&amp;Anmeldung!$J$20,"")</f>
        <v/>
      </c>
      <c r="AI7" t="str">
        <f>IF(AND(13&lt;&gt;15,Anmeldung!$D$20&lt;&gt;"",Anmeldung!$G$20=Anmeldung!$G$22,Anmeldung!$J$20=Anmeldung!$J$22,(Anmeldung!$B$20&amp;": "&amp;Anmeldung!$D$20&amp;", "&amp;Anmeldung!$E$20&amp;" / "&amp;Anmeldung!$G$20&amp;" / "&amp;Anmeldung!$J$20)&lt;&gt;Anmeldung!$O$22),Anmeldung!$B$20&amp;": "&amp;Anmeldung!$D$20&amp;", "&amp;Anmeldung!$E$20&amp;" / "&amp;Anmeldung!$G$20&amp;" / "&amp;Anmeldung!$J$20,"")</f>
        <v/>
      </c>
      <c r="AJ7" t="str">
        <f>IF(AND(13&lt;&gt;15,Anmeldung!$D$20&lt;&gt;"",Anmeldung!$G$20&lt;&gt;Anmeldung!$G$22,(Anmeldung!$B$20&amp;": "&amp;Anmeldung!$D$20&amp;", "&amp;Anmeldung!$E$20&amp;" / "&amp;Anmeldung!$G$20&amp;" / "&amp;Anmeldung!$J$20)&lt;&gt;Anmeldung!$S$22),Anmeldung!$B$20&amp;": "&amp;Anmeldung!$D$20&amp;", "&amp;Anmeldung!$E$20&amp;" / "&amp;Anmeldung!$G$20&amp;" / "&amp;Anmeldung!$J$20,"")</f>
        <v/>
      </c>
      <c r="AK7" t="str">
        <f>IF(AND(13&lt;&gt;15,Anmeldung!$D$20&lt;&gt;"",(Anmeldung!$B$20&amp;": "&amp;Anmeldung!$D$20&amp;", "&amp;Anmeldung!$E$20&amp;" / "&amp;Anmeldung!$G$20&amp;" / "&amp;Anmeldung!$J$20)&lt;&gt;Anmeldung!$R$22),Anmeldung!$B$20&amp;": "&amp;Anmeldung!$D$20&amp;", "&amp;Anmeldung!$E$20&amp;" / "&amp;Anmeldung!$G$20&amp;" / "&amp;Anmeldung!$J$20,"")</f>
        <v/>
      </c>
      <c r="AL7" t="str">
        <f>IF(AND(12&lt;&gt;14,Anmeldung!$D$20&lt;&gt;"",Anmeldung!$U$20="Ja",Anmeldung!$G$20=Anmeldung!$G$22,Anmeldung!$J$20=Anmeldung!$J$22),Anmeldung!$B$20&amp;": "&amp;Anmeldung!$D$20&amp;", "&amp;Anmeldung!$E$20&amp;" / "&amp;Anmeldung!$G$20&amp;" / "&amp;Anmeldung!$J$20,"")</f>
        <v/>
      </c>
      <c r="AO7" t="str">
        <f>IF(AND(13&lt;&gt;16,Anmeldung!$D$20&lt;&gt;"",Anmeldung!$G$20=Anmeldung!$G$23,Anmeldung!$J$20=Anmeldung!$J$23),Anmeldung!$B$20&amp;": "&amp;Anmeldung!$D$20&amp;", "&amp;Anmeldung!$E$20&amp;" / "&amp;Anmeldung!$G$20&amp;" / "&amp;Anmeldung!$J$20,"")</f>
        <v/>
      </c>
      <c r="AP7" t="str">
        <f>IF(AND(13&lt;&gt;16,Anmeldung!$D$20&lt;&gt;"",Anmeldung!$G$20=Anmeldung!$G$23,Anmeldung!$J$20=Anmeldung!$J$23,(Anmeldung!$B$20&amp;": "&amp;Anmeldung!$D$20&amp;", "&amp;Anmeldung!$E$20&amp;" / "&amp;Anmeldung!$G$20&amp;" / "&amp;Anmeldung!$J$20)&lt;&gt;Anmeldung!$P$23),Anmeldung!$B$20&amp;": "&amp;Anmeldung!$D$20&amp;", "&amp;Anmeldung!$E$20&amp;" / "&amp;Anmeldung!$G$20&amp;" / "&amp;Anmeldung!$J$20,"")</f>
        <v/>
      </c>
      <c r="AQ7" t="str">
        <f>IF(AND(13&lt;&gt;16,Anmeldung!$D$20&lt;&gt;"",Anmeldung!$G$20=Anmeldung!$G$23,Anmeldung!$J$20=Anmeldung!$J$23,(Anmeldung!$B$20&amp;": "&amp;Anmeldung!$D$20&amp;", "&amp;Anmeldung!$E$20&amp;" / "&amp;Anmeldung!$G$20&amp;" / "&amp;Anmeldung!$J$20)&lt;&gt;Anmeldung!$O$23),Anmeldung!$B$20&amp;": "&amp;Anmeldung!$D$20&amp;", "&amp;Anmeldung!$E$20&amp;" / "&amp;Anmeldung!$G$20&amp;" / "&amp;Anmeldung!$J$20,"")</f>
        <v/>
      </c>
      <c r="AR7" t="str">
        <f>IF(AND(13&lt;&gt;16,Anmeldung!$D$20&lt;&gt;"",Anmeldung!$G$20&lt;&gt;Anmeldung!$G$23,(Anmeldung!$B$20&amp;": "&amp;Anmeldung!$D$20&amp;", "&amp;Anmeldung!$E$20&amp;" / "&amp;Anmeldung!$G$20&amp;" / "&amp;Anmeldung!$J$20)&lt;&gt;Anmeldung!$S$23),Anmeldung!$B$20&amp;": "&amp;Anmeldung!$D$20&amp;", "&amp;Anmeldung!$E$20&amp;" / "&amp;Anmeldung!$G$20&amp;" / "&amp;Anmeldung!$J$20,"")</f>
        <v/>
      </c>
      <c r="AS7" t="str">
        <f>IF(AND(13&lt;&gt;16,Anmeldung!$D$20&lt;&gt;"",(Anmeldung!$B$20&amp;": "&amp;Anmeldung!$D$20&amp;", "&amp;Anmeldung!$E$20&amp;" / "&amp;Anmeldung!$G$20&amp;" / "&amp;Anmeldung!$J$20)&lt;&gt;Anmeldung!$R$23),Anmeldung!$B$20&amp;": "&amp;Anmeldung!$D$20&amp;", "&amp;Anmeldung!$E$20&amp;" / "&amp;Anmeldung!$G$20&amp;" / "&amp;Anmeldung!$J$20,"")</f>
        <v/>
      </c>
      <c r="AT7" t="str">
        <f>IF(AND(12&lt;&gt;15,Anmeldung!$D$20&lt;&gt;"",Anmeldung!$U$20="Ja",Anmeldung!$G$20=Anmeldung!$G$23,Anmeldung!$J$20=Anmeldung!$J$23),Anmeldung!$B$20&amp;": "&amp;Anmeldung!$D$20&amp;", "&amp;Anmeldung!$E$20&amp;" / "&amp;Anmeldung!$G$20&amp;" / "&amp;Anmeldung!$J$20,"")</f>
        <v/>
      </c>
      <c r="AW7" t="str">
        <f>IF(AND(13&lt;&gt;17,Anmeldung!$D$20&lt;&gt;"",Anmeldung!$G$20=Anmeldung!$G$24,Anmeldung!$J$20=Anmeldung!$J$24),Anmeldung!$B$20&amp;": "&amp;Anmeldung!$D$20&amp;", "&amp;Anmeldung!$E$20&amp;" / "&amp;Anmeldung!$G$20&amp;" / "&amp;Anmeldung!$J$20,"")</f>
        <v/>
      </c>
      <c r="AX7" t="str">
        <f>IF(AND(13&lt;&gt;17,Anmeldung!$D$20&lt;&gt;"",Anmeldung!$G$20=Anmeldung!$G$24,Anmeldung!$J$20=Anmeldung!$J$24,(Anmeldung!$B$20&amp;": "&amp;Anmeldung!$D$20&amp;", "&amp;Anmeldung!$E$20&amp;" / "&amp;Anmeldung!$G$20&amp;" / "&amp;Anmeldung!$J$20)&lt;&gt;Anmeldung!$P$24),Anmeldung!$B$20&amp;": "&amp;Anmeldung!$D$20&amp;", "&amp;Anmeldung!$E$20&amp;" / "&amp;Anmeldung!$G$20&amp;" / "&amp;Anmeldung!$J$20,"")</f>
        <v/>
      </c>
      <c r="AY7" t="str">
        <f>IF(AND(13&lt;&gt;17,Anmeldung!$D$20&lt;&gt;"",Anmeldung!$G$20=Anmeldung!$G$24,Anmeldung!$J$20=Anmeldung!$J$24,(Anmeldung!$B$20&amp;": "&amp;Anmeldung!$D$20&amp;", "&amp;Anmeldung!$E$20&amp;" / "&amp;Anmeldung!$G$20&amp;" / "&amp;Anmeldung!$J$20)&lt;&gt;Anmeldung!$O$24),Anmeldung!$B$20&amp;": "&amp;Anmeldung!$D$20&amp;", "&amp;Anmeldung!$E$20&amp;" / "&amp;Anmeldung!$G$20&amp;" / "&amp;Anmeldung!$J$20,"")</f>
        <v/>
      </c>
      <c r="AZ7" t="str">
        <f>IF(AND(13&lt;&gt;17,Anmeldung!$D$20&lt;&gt;"",Anmeldung!$G$20&lt;&gt;Anmeldung!$G$24,(Anmeldung!$B$20&amp;": "&amp;Anmeldung!$D$20&amp;", "&amp;Anmeldung!$E$20&amp;" / "&amp;Anmeldung!$G$20&amp;" / "&amp;Anmeldung!$J$20)&lt;&gt;Anmeldung!$S$24),Anmeldung!$B$20&amp;": "&amp;Anmeldung!$D$20&amp;", "&amp;Anmeldung!$E$20&amp;" / "&amp;Anmeldung!$G$20&amp;" / "&amp;Anmeldung!$J$20,"")</f>
        <v/>
      </c>
      <c r="BA7" t="str">
        <f>IF(AND(13&lt;&gt;17,Anmeldung!$D$20&lt;&gt;"",(Anmeldung!$B$20&amp;": "&amp;Anmeldung!$D$20&amp;", "&amp;Anmeldung!$E$20&amp;" / "&amp;Anmeldung!$G$20&amp;" / "&amp;Anmeldung!$J$20)&lt;&gt;Anmeldung!$R$24),Anmeldung!$B$20&amp;": "&amp;Anmeldung!$D$20&amp;", "&amp;Anmeldung!$E$20&amp;" / "&amp;Anmeldung!$G$20&amp;" / "&amp;Anmeldung!$J$20,"")</f>
        <v/>
      </c>
      <c r="BB7" t="str">
        <f>IF(AND(12&lt;&gt;16,Anmeldung!$D$20&lt;&gt;"",Anmeldung!$U$20="Ja",Anmeldung!$G$20=Anmeldung!$G$24,Anmeldung!$J$20=Anmeldung!$J$24),Anmeldung!$B$20&amp;": "&amp;Anmeldung!$D$20&amp;", "&amp;Anmeldung!$E$20&amp;" / "&amp;Anmeldung!$G$20&amp;" / "&amp;Anmeldung!$J$20,"")</f>
        <v/>
      </c>
      <c r="BE7" t="str">
        <f>IF(AND(13&lt;&gt;18,Anmeldung!$D$20&lt;&gt;"",Anmeldung!$G$20=Anmeldung!$G$25,Anmeldung!$J$20=Anmeldung!$J$25),Anmeldung!$B$20&amp;": "&amp;Anmeldung!$D$20&amp;", "&amp;Anmeldung!$E$20&amp;" / "&amp;Anmeldung!$G$20&amp;" / "&amp;Anmeldung!$J$20,"")</f>
        <v/>
      </c>
      <c r="BF7" t="str">
        <f>IF(AND(13&lt;&gt;18,Anmeldung!$D$20&lt;&gt;"",Anmeldung!$G$20=Anmeldung!$G$25,Anmeldung!$J$20=Anmeldung!$J$25,(Anmeldung!$B$20&amp;": "&amp;Anmeldung!$D$20&amp;", "&amp;Anmeldung!$E$20&amp;" / "&amp;Anmeldung!$G$20&amp;" / "&amp;Anmeldung!$J$20)&lt;&gt;Anmeldung!$P$25),Anmeldung!$B$20&amp;": "&amp;Anmeldung!$D$20&amp;", "&amp;Anmeldung!$E$20&amp;" / "&amp;Anmeldung!$G$20&amp;" / "&amp;Anmeldung!$J$20,"")</f>
        <v/>
      </c>
      <c r="BG7" t="str">
        <f>IF(AND(13&lt;&gt;18,Anmeldung!$D$20&lt;&gt;"",Anmeldung!$G$20=Anmeldung!$G$25,Anmeldung!$J$20=Anmeldung!$J$25,(Anmeldung!$B$20&amp;": "&amp;Anmeldung!$D$20&amp;", "&amp;Anmeldung!$E$20&amp;" / "&amp;Anmeldung!$G$20&amp;" / "&amp;Anmeldung!$J$20)&lt;&gt;Anmeldung!$O$25),Anmeldung!$B$20&amp;": "&amp;Anmeldung!$D$20&amp;", "&amp;Anmeldung!$E$20&amp;" / "&amp;Anmeldung!$G$20&amp;" / "&amp;Anmeldung!$J$20,"")</f>
        <v/>
      </c>
      <c r="BH7" t="str">
        <f>IF(AND(13&lt;&gt;18,Anmeldung!$D$20&lt;&gt;"",Anmeldung!$G$20&lt;&gt;Anmeldung!$G$25,(Anmeldung!$B$20&amp;": "&amp;Anmeldung!$D$20&amp;", "&amp;Anmeldung!$E$20&amp;" / "&amp;Anmeldung!$G$20&amp;" / "&amp;Anmeldung!$J$20)&lt;&gt;Anmeldung!$S$25),Anmeldung!$B$20&amp;": "&amp;Anmeldung!$D$20&amp;", "&amp;Anmeldung!$E$20&amp;" / "&amp;Anmeldung!$G$20&amp;" / "&amp;Anmeldung!$J$20,"")</f>
        <v/>
      </c>
      <c r="BI7" t="str">
        <f>IF(AND(13&lt;&gt;18,Anmeldung!$D$20&lt;&gt;"",(Anmeldung!$B$20&amp;": "&amp;Anmeldung!$D$20&amp;", "&amp;Anmeldung!$E$20&amp;" / "&amp;Anmeldung!$G$20&amp;" / "&amp;Anmeldung!$J$20)&lt;&gt;Anmeldung!$R$25),Anmeldung!$B$20&amp;": "&amp;Anmeldung!$D$20&amp;", "&amp;Anmeldung!$E$20&amp;" / "&amp;Anmeldung!$G$20&amp;" / "&amp;Anmeldung!$J$20,"")</f>
        <v/>
      </c>
      <c r="BJ7" t="str">
        <f>IF(AND(12&lt;&gt;17,Anmeldung!$D$20&lt;&gt;"",Anmeldung!$U$20="Ja",Anmeldung!$G$20=Anmeldung!$G$25,Anmeldung!$J$20=Anmeldung!$J$25),Anmeldung!$B$20&amp;": "&amp;Anmeldung!$D$20&amp;", "&amp;Anmeldung!$E$20&amp;" / "&amp;Anmeldung!$G$20&amp;" / "&amp;Anmeldung!$J$20,"")</f>
        <v/>
      </c>
      <c r="BM7" t="str">
        <f>IF(AND(13&lt;&gt;19,Anmeldung!$D$20&lt;&gt;"",Anmeldung!$G$20=Anmeldung!$G$26,Anmeldung!$J$20=Anmeldung!$J$26),Anmeldung!$B$20&amp;": "&amp;Anmeldung!$D$20&amp;", "&amp;Anmeldung!$E$20&amp;" / "&amp;Anmeldung!$G$20&amp;" / "&amp;Anmeldung!$J$20,"")</f>
        <v/>
      </c>
      <c r="BN7" t="str">
        <f>IF(AND(13&lt;&gt;19,Anmeldung!$D$20&lt;&gt;"",Anmeldung!$G$20=Anmeldung!$G$26,Anmeldung!$J$20=Anmeldung!$J$26,(Anmeldung!$B$20&amp;": "&amp;Anmeldung!$D$20&amp;", "&amp;Anmeldung!$E$20&amp;" / "&amp;Anmeldung!$G$20&amp;" / "&amp;Anmeldung!$J$20)&lt;&gt;Anmeldung!$P$26),Anmeldung!$B$20&amp;": "&amp;Anmeldung!$D$20&amp;", "&amp;Anmeldung!$E$20&amp;" / "&amp;Anmeldung!$G$20&amp;" / "&amp;Anmeldung!$J$20,"")</f>
        <v/>
      </c>
      <c r="BO7" t="str">
        <f>IF(AND(13&lt;&gt;19,Anmeldung!$D$20&lt;&gt;"",Anmeldung!$G$20=Anmeldung!$G$26,Anmeldung!$J$20=Anmeldung!$J$26,(Anmeldung!$B$20&amp;": "&amp;Anmeldung!$D$20&amp;", "&amp;Anmeldung!$E$20&amp;" / "&amp;Anmeldung!$G$20&amp;" / "&amp;Anmeldung!$J$20)&lt;&gt;Anmeldung!$O$26),Anmeldung!$B$20&amp;": "&amp;Anmeldung!$D$20&amp;", "&amp;Anmeldung!$E$20&amp;" / "&amp;Anmeldung!$G$20&amp;" / "&amp;Anmeldung!$J$20,"")</f>
        <v/>
      </c>
      <c r="BP7" t="str">
        <f>IF(AND(13&lt;&gt;19,Anmeldung!$D$20&lt;&gt;"",Anmeldung!$G$20&lt;&gt;Anmeldung!$G$26,(Anmeldung!$B$20&amp;": "&amp;Anmeldung!$D$20&amp;", "&amp;Anmeldung!$E$20&amp;" / "&amp;Anmeldung!$G$20&amp;" / "&amp;Anmeldung!$J$20)&lt;&gt;Anmeldung!$S$26),Anmeldung!$B$20&amp;": "&amp;Anmeldung!$D$20&amp;", "&amp;Anmeldung!$E$20&amp;" / "&amp;Anmeldung!$G$20&amp;" / "&amp;Anmeldung!$J$20,"")</f>
        <v/>
      </c>
      <c r="BQ7" t="str">
        <f>IF(AND(13&lt;&gt;19,Anmeldung!$D$20&lt;&gt;"",(Anmeldung!$B$20&amp;": "&amp;Anmeldung!$D$20&amp;", "&amp;Anmeldung!$E$20&amp;" / "&amp;Anmeldung!$G$20&amp;" / "&amp;Anmeldung!$J$20)&lt;&gt;Anmeldung!$R$26),Anmeldung!$B$20&amp;": "&amp;Anmeldung!$D$20&amp;", "&amp;Anmeldung!$E$20&amp;" / "&amp;Anmeldung!$G$20&amp;" / "&amp;Anmeldung!$J$20,"")</f>
        <v/>
      </c>
      <c r="BR7" t="str">
        <f>IF(AND(12&lt;&gt;18,Anmeldung!$D$20&lt;&gt;"",Anmeldung!$U$20="Ja",Anmeldung!$G$20=Anmeldung!$G$26,Anmeldung!$J$20=Anmeldung!$J$26),Anmeldung!$B$20&amp;": "&amp;Anmeldung!$D$20&amp;", "&amp;Anmeldung!$E$20&amp;" / "&amp;Anmeldung!$G$20&amp;" / "&amp;Anmeldung!$J$20,"")</f>
        <v/>
      </c>
      <c r="BU7" t="str">
        <f>IF(AND(13&lt;&gt;20,Anmeldung!$D$20&lt;&gt;"",Anmeldung!$G$20=Anmeldung!$G$27,Anmeldung!$J$20=Anmeldung!$J$27),Anmeldung!$B$20&amp;": "&amp;Anmeldung!$D$20&amp;", "&amp;Anmeldung!$E$20&amp;" / "&amp;Anmeldung!$G$20&amp;" / "&amp;Anmeldung!$J$20,"")</f>
        <v/>
      </c>
      <c r="BV7" t="str">
        <f>IF(AND(13&lt;&gt;20,Anmeldung!$D$20&lt;&gt;"",Anmeldung!$G$20=Anmeldung!$G$27,Anmeldung!$J$20=Anmeldung!$J$27,(Anmeldung!$B$20&amp;": "&amp;Anmeldung!$D$20&amp;", "&amp;Anmeldung!$E$20&amp;" / "&amp;Anmeldung!$G$20&amp;" / "&amp;Anmeldung!$J$20)&lt;&gt;Anmeldung!$P$27),Anmeldung!$B$20&amp;": "&amp;Anmeldung!$D$20&amp;", "&amp;Anmeldung!$E$20&amp;" / "&amp;Anmeldung!$G$20&amp;" / "&amp;Anmeldung!$J$20,"")</f>
        <v/>
      </c>
      <c r="BW7" t="str">
        <f>IF(AND(13&lt;&gt;20,Anmeldung!$D$20&lt;&gt;"",Anmeldung!$G$20=Anmeldung!$G$27,Anmeldung!$J$20=Anmeldung!$J$27,(Anmeldung!$B$20&amp;": "&amp;Anmeldung!$D$20&amp;", "&amp;Anmeldung!$E$20&amp;" / "&amp;Anmeldung!$G$20&amp;" / "&amp;Anmeldung!$J$20)&lt;&gt;Anmeldung!$O$27),Anmeldung!$B$20&amp;": "&amp;Anmeldung!$D$20&amp;", "&amp;Anmeldung!$E$20&amp;" / "&amp;Anmeldung!$G$20&amp;" / "&amp;Anmeldung!$J$20,"")</f>
        <v/>
      </c>
      <c r="BX7" t="str">
        <f>IF(AND(13&lt;&gt;20,Anmeldung!$D$20&lt;&gt;"",Anmeldung!$G$20&lt;&gt;Anmeldung!$G$27,(Anmeldung!$B$20&amp;": "&amp;Anmeldung!$D$20&amp;", "&amp;Anmeldung!$E$20&amp;" / "&amp;Anmeldung!$G$20&amp;" / "&amp;Anmeldung!$J$20)&lt;&gt;Anmeldung!$S$27),Anmeldung!$B$20&amp;": "&amp;Anmeldung!$D$20&amp;", "&amp;Anmeldung!$E$20&amp;" / "&amp;Anmeldung!$G$20&amp;" / "&amp;Anmeldung!$J$20,"")</f>
        <v/>
      </c>
      <c r="BY7" t="str">
        <f>IF(AND(13&lt;&gt;20,Anmeldung!$D$20&lt;&gt;"",(Anmeldung!$B$20&amp;": "&amp;Anmeldung!$D$20&amp;", "&amp;Anmeldung!$E$20&amp;" / "&amp;Anmeldung!$G$20&amp;" / "&amp;Anmeldung!$J$20)&lt;&gt;Anmeldung!$R$27),Anmeldung!$B$20&amp;": "&amp;Anmeldung!$D$20&amp;", "&amp;Anmeldung!$E$20&amp;" / "&amp;Anmeldung!$G$20&amp;" / "&amp;Anmeldung!$J$20,"")</f>
        <v/>
      </c>
      <c r="BZ7" t="str">
        <f>IF(AND(12&lt;&gt;19,Anmeldung!$D$20&lt;&gt;"",Anmeldung!$U$20="Ja",Anmeldung!$G$20=Anmeldung!$G$27,Anmeldung!$J$20=Anmeldung!$J$27),Anmeldung!$B$20&amp;": "&amp;Anmeldung!$D$20&amp;", "&amp;Anmeldung!$E$20&amp;" / "&amp;Anmeldung!$G$20&amp;" / "&amp;Anmeldung!$J$20,"")</f>
        <v/>
      </c>
      <c r="CC7" t="str">
        <f>IF(AND(13&lt;&gt;21,Anmeldung!$D$20&lt;&gt;"",Anmeldung!$G$20=Anmeldung!$G$28,Anmeldung!$J$20=Anmeldung!$J$28),Anmeldung!$B$20&amp;": "&amp;Anmeldung!$D$20&amp;", "&amp;Anmeldung!$E$20&amp;" / "&amp;Anmeldung!$G$20&amp;" / "&amp;Anmeldung!$J$20,"")</f>
        <v/>
      </c>
      <c r="CD7" t="str">
        <f>IF(AND(13&lt;&gt;21,Anmeldung!$D$20&lt;&gt;"",Anmeldung!$G$20=Anmeldung!$G$28,Anmeldung!$J$20=Anmeldung!$J$28,(Anmeldung!$B$20&amp;": "&amp;Anmeldung!$D$20&amp;", "&amp;Anmeldung!$E$20&amp;" / "&amp;Anmeldung!$G$20&amp;" / "&amp;Anmeldung!$J$20)&lt;&gt;Anmeldung!$P$28),Anmeldung!$B$20&amp;": "&amp;Anmeldung!$D$20&amp;", "&amp;Anmeldung!$E$20&amp;" / "&amp;Anmeldung!$G$20&amp;" / "&amp;Anmeldung!$J$20,"")</f>
        <v/>
      </c>
      <c r="CE7" t="str">
        <f>IF(AND(13&lt;&gt;21,Anmeldung!$D$20&lt;&gt;"",Anmeldung!$G$20=Anmeldung!$G$28,Anmeldung!$J$20=Anmeldung!$J$28,(Anmeldung!$B$20&amp;": "&amp;Anmeldung!$D$20&amp;", "&amp;Anmeldung!$E$20&amp;" / "&amp;Anmeldung!$G$20&amp;" / "&amp;Anmeldung!$J$20)&lt;&gt;Anmeldung!$O$28),Anmeldung!$B$20&amp;": "&amp;Anmeldung!$D$20&amp;", "&amp;Anmeldung!$E$20&amp;" / "&amp;Anmeldung!$G$20&amp;" / "&amp;Anmeldung!$J$20,"")</f>
        <v/>
      </c>
      <c r="CF7" t="str">
        <f>IF(AND(13&lt;&gt;21,Anmeldung!$D$20&lt;&gt;"",Anmeldung!$G$20&lt;&gt;Anmeldung!$G$28,(Anmeldung!$B$20&amp;": "&amp;Anmeldung!$D$20&amp;", "&amp;Anmeldung!$E$20&amp;" / "&amp;Anmeldung!$G$20&amp;" / "&amp;Anmeldung!$J$20)&lt;&gt;Anmeldung!$S$28),Anmeldung!$B$20&amp;": "&amp;Anmeldung!$D$20&amp;", "&amp;Anmeldung!$E$20&amp;" / "&amp;Anmeldung!$G$20&amp;" / "&amp;Anmeldung!$J$20,"")</f>
        <v/>
      </c>
      <c r="CG7" t="str">
        <f>IF(AND(13&lt;&gt;21,Anmeldung!$D$20&lt;&gt;"",(Anmeldung!$B$20&amp;": "&amp;Anmeldung!$D$20&amp;", "&amp;Anmeldung!$E$20&amp;" / "&amp;Anmeldung!$G$20&amp;" / "&amp;Anmeldung!$J$20)&lt;&gt;Anmeldung!$R$28),Anmeldung!$B$20&amp;": "&amp;Anmeldung!$D$20&amp;", "&amp;Anmeldung!$E$20&amp;" / "&amp;Anmeldung!$G$20&amp;" / "&amp;Anmeldung!$J$20,"")</f>
        <v/>
      </c>
      <c r="CH7" t="str">
        <f>IF(AND(12&lt;&gt;20,Anmeldung!$D$20&lt;&gt;"",Anmeldung!$U$20="Ja",Anmeldung!$G$20=Anmeldung!$G$28,Anmeldung!$J$20=Anmeldung!$J$28),Anmeldung!$B$20&amp;": "&amp;Anmeldung!$D$20&amp;", "&amp;Anmeldung!$E$20&amp;" / "&amp;Anmeldung!$G$20&amp;" / "&amp;Anmeldung!$J$20,"")</f>
        <v/>
      </c>
      <c r="CK7" t="str">
        <f>IF(AND(13&lt;&gt;22,Anmeldung!$D$20&lt;&gt;"",Anmeldung!$G$20=Anmeldung!$G$29,Anmeldung!$J$20=Anmeldung!$J$29),Anmeldung!$B$20&amp;": "&amp;Anmeldung!$D$20&amp;", "&amp;Anmeldung!$E$20&amp;" / "&amp;Anmeldung!$G$20&amp;" / "&amp;Anmeldung!$J$20,"")</f>
        <v/>
      </c>
      <c r="CL7" t="str">
        <f>IF(AND(13&lt;&gt;22,Anmeldung!$D$20&lt;&gt;"",Anmeldung!$G$20=Anmeldung!$G$29,Anmeldung!$J$20=Anmeldung!$J$29,(Anmeldung!$B$20&amp;": "&amp;Anmeldung!$D$20&amp;", "&amp;Anmeldung!$E$20&amp;" / "&amp;Anmeldung!$G$20&amp;" / "&amp;Anmeldung!$J$20)&lt;&gt;Anmeldung!$P$29),Anmeldung!$B$20&amp;": "&amp;Anmeldung!$D$20&amp;", "&amp;Anmeldung!$E$20&amp;" / "&amp;Anmeldung!$G$20&amp;" / "&amp;Anmeldung!$J$20,"")</f>
        <v/>
      </c>
      <c r="CM7" t="str">
        <f>IF(AND(13&lt;&gt;22,Anmeldung!$D$20&lt;&gt;"",Anmeldung!$G$20=Anmeldung!$G$29,Anmeldung!$J$20=Anmeldung!$J$29,(Anmeldung!$B$20&amp;": "&amp;Anmeldung!$D$20&amp;", "&amp;Anmeldung!$E$20&amp;" / "&amp;Anmeldung!$G$20&amp;" / "&amp;Anmeldung!$J$20)&lt;&gt;Anmeldung!$O$29),Anmeldung!$B$20&amp;": "&amp;Anmeldung!$D$20&amp;", "&amp;Anmeldung!$E$20&amp;" / "&amp;Anmeldung!$G$20&amp;" / "&amp;Anmeldung!$J$20,"")</f>
        <v/>
      </c>
      <c r="CN7" t="str">
        <f>IF(AND(13&lt;&gt;22,Anmeldung!$D$20&lt;&gt;"",Anmeldung!$G$20&lt;&gt;Anmeldung!$G$29,(Anmeldung!$B$20&amp;": "&amp;Anmeldung!$D$20&amp;", "&amp;Anmeldung!$E$20&amp;" / "&amp;Anmeldung!$G$20&amp;" / "&amp;Anmeldung!$J$20)&lt;&gt;Anmeldung!$S$29),Anmeldung!$B$20&amp;": "&amp;Anmeldung!$D$20&amp;", "&amp;Anmeldung!$E$20&amp;" / "&amp;Anmeldung!$G$20&amp;" / "&amp;Anmeldung!$J$20,"")</f>
        <v/>
      </c>
      <c r="CO7" t="str">
        <f>IF(AND(13&lt;&gt;22,Anmeldung!$D$20&lt;&gt;"",(Anmeldung!$B$20&amp;": "&amp;Anmeldung!$D$20&amp;", "&amp;Anmeldung!$E$20&amp;" / "&amp;Anmeldung!$G$20&amp;" / "&amp;Anmeldung!$J$20)&lt;&gt;Anmeldung!$R$29),Anmeldung!$B$20&amp;": "&amp;Anmeldung!$D$20&amp;", "&amp;Anmeldung!$E$20&amp;" / "&amp;Anmeldung!$G$20&amp;" / "&amp;Anmeldung!$J$20,"")</f>
        <v/>
      </c>
      <c r="CP7" t="str">
        <f>IF(AND(12&lt;&gt;21,Anmeldung!$D$20&lt;&gt;"",Anmeldung!$U$20="Ja",Anmeldung!$G$20=Anmeldung!$G$29,Anmeldung!$J$20=Anmeldung!$J$29),Anmeldung!$B$20&amp;": "&amp;Anmeldung!$D$20&amp;", "&amp;Anmeldung!$E$20&amp;" / "&amp;Anmeldung!$G$20&amp;" / "&amp;Anmeldung!$J$20,"")</f>
        <v/>
      </c>
      <c r="CS7" t="str">
        <f>IF(AND(13&lt;&gt;23,Anmeldung!$D$20&lt;&gt;"",Anmeldung!$G$20=Anmeldung!$G$30,Anmeldung!$J$20=Anmeldung!$J$30),Anmeldung!$B$20&amp;": "&amp;Anmeldung!$D$20&amp;", "&amp;Anmeldung!$E$20&amp;" / "&amp;Anmeldung!$G$20&amp;" / "&amp;Anmeldung!$J$20,"")</f>
        <v/>
      </c>
      <c r="CT7" t="str">
        <f>IF(AND(13&lt;&gt;23,Anmeldung!$D$20&lt;&gt;"",Anmeldung!$G$20=Anmeldung!$G$30,Anmeldung!$J$20=Anmeldung!$J$30,(Anmeldung!$B$20&amp;": "&amp;Anmeldung!$D$20&amp;", "&amp;Anmeldung!$E$20&amp;" / "&amp;Anmeldung!$G$20&amp;" / "&amp;Anmeldung!$J$20)&lt;&gt;Anmeldung!$P$30),Anmeldung!$B$20&amp;": "&amp;Anmeldung!$D$20&amp;", "&amp;Anmeldung!$E$20&amp;" / "&amp;Anmeldung!$G$20&amp;" / "&amp;Anmeldung!$J$20,"")</f>
        <v/>
      </c>
      <c r="CU7" t="str">
        <f>IF(AND(13&lt;&gt;23,Anmeldung!$D$20&lt;&gt;"",Anmeldung!$G$20=Anmeldung!$G$30,Anmeldung!$J$20=Anmeldung!$J$30,(Anmeldung!$B$20&amp;": "&amp;Anmeldung!$D$20&amp;", "&amp;Anmeldung!$E$20&amp;" / "&amp;Anmeldung!$G$20&amp;" / "&amp;Anmeldung!$J$20)&lt;&gt;Anmeldung!$O$30),Anmeldung!$B$20&amp;": "&amp;Anmeldung!$D$20&amp;", "&amp;Anmeldung!$E$20&amp;" / "&amp;Anmeldung!$G$20&amp;" / "&amp;Anmeldung!$J$20,"")</f>
        <v/>
      </c>
      <c r="CV7" t="str">
        <f>IF(AND(13&lt;&gt;23,Anmeldung!$D$20&lt;&gt;"",Anmeldung!$G$20&lt;&gt;Anmeldung!$G$30,(Anmeldung!$B$20&amp;": "&amp;Anmeldung!$D$20&amp;", "&amp;Anmeldung!$E$20&amp;" / "&amp;Anmeldung!$G$20&amp;" / "&amp;Anmeldung!$J$20)&lt;&gt;Anmeldung!$S$30),Anmeldung!$B$20&amp;": "&amp;Anmeldung!$D$20&amp;", "&amp;Anmeldung!$E$20&amp;" / "&amp;Anmeldung!$G$20&amp;" / "&amp;Anmeldung!$J$20,"")</f>
        <v/>
      </c>
      <c r="CW7" t="str">
        <f>IF(AND(13&lt;&gt;23,Anmeldung!$D$20&lt;&gt;"",(Anmeldung!$B$20&amp;": "&amp;Anmeldung!$D$20&amp;", "&amp;Anmeldung!$E$20&amp;" / "&amp;Anmeldung!$G$20&amp;" / "&amp;Anmeldung!$J$20)&lt;&gt;Anmeldung!$R$30),Anmeldung!$B$20&amp;": "&amp;Anmeldung!$D$20&amp;", "&amp;Anmeldung!$E$20&amp;" / "&amp;Anmeldung!$G$20&amp;" / "&amp;Anmeldung!$J$20,"")</f>
        <v/>
      </c>
      <c r="CX7" t="str">
        <f>IF(AND(12&lt;&gt;22,Anmeldung!$D$20&lt;&gt;"",Anmeldung!$U$20="Ja",Anmeldung!$G$20=Anmeldung!$G$30,Anmeldung!$J$20=Anmeldung!$J$30),Anmeldung!$B$20&amp;": "&amp;Anmeldung!$D$20&amp;", "&amp;Anmeldung!$E$20&amp;" / "&amp;Anmeldung!$G$20&amp;" / "&amp;Anmeldung!$J$20,"")</f>
        <v/>
      </c>
      <c r="DA7" t="str">
        <f>IF(AND(13&lt;&gt;24,Anmeldung!$D$20&lt;&gt;"",Anmeldung!$G$20=Anmeldung!$G$31,Anmeldung!$J$20=Anmeldung!$J$31),Anmeldung!$B$20&amp;": "&amp;Anmeldung!$D$20&amp;", "&amp;Anmeldung!$E$20&amp;" / "&amp;Anmeldung!$G$20&amp;" / "&amp;Anmeldung!$J$20,"")</f>
        <v/>
      </c>
      <c r="DB7" t="str">
        <f>IF(AND(13&lt;&gt;24,Anmeldung!$D$20&lt;&gt;"",Anmeldung!$G$20=Anmeldung!$G$31,Anmeldung!$J$20=Anmeldung!$J$31,(Anmeldung!$B$20&amp;": "&amp;Anmeldung!$D$20&amp;", "&amp;Anmeldung!$E$20&amp;" / "&amp;Anmeldung!$G$20&amp;" / "&amp;Anmeldung!$J$20)&lt;&gt;Anmeldung!$P$31),Anmeldung!$B$20&amp;": "&amp;Anmeldung!$D$20&amp;", "&amp;Anmeldung!$E$20&amp;" / "&amp;Anmeldung!$G$20&amp;" / "&amp;Anmeldung!$J$20,"")</f>
        <v/>
      </c>
      <c r="DC7" t="str">
        <f>IF(AND(13&lt;&gt;24,Anmeldung!$D$20&lt;&gt;"",Anmeldung!$G$20=Anmeldung!$G$31,Anmeldung!$J$20=Anmeldung!$J$31,(Anmeldung!$B$20&amp;": "&amp;Anmeldung!$D$20&amp;", "&amp;Anmeldung!$E$20&amp;" / "&amp;Anmeldung!$G$20&amp;" / "&amp;Anmeldung!$J$20)&lt;&gt;Anmeldung!$O$31),Anmeldung!$B$20&amp;": "&amp;Anmeldung!$D$20&amp;", "&amp;Anmeldung!$E$20&amp;" / "&amp;Anmeldung!$G$20&amp;" / "&amp;Anmeldung!$J$20,"")</f>
        <v/>
      </c>
      <c r="DD7" t="str">
        <f>IF(AND(13&lt;&gt;24,Anmeldung!$D$20&lt;&gt;"",Anmeldung!$G$20&lt;&gt;Anmeldung!$G$31,(Anmeldung!$B$20&amp;": "&amp;Anmeldung!$D$20&amp;", "&amp;Anmeldung!$E$20&amp;" / "&amp;Anmeldung!$G$20&amp;" / "&amp;Anmeldung!$J$20)&lt;&gt;Anmeldung!$S$31),Anmeldung!$B$20&amp;": "&amp;Anmeldung!$D$20&amp;", "&amp;Anmeldung!$E$20&amp;" / "&amp;Anmeldung!$G$20&amp;" / "&amp;Anmeldung!$J$20,"")</f>
        <v/>
      </c>
      <c r="DE7" t="str">
        <f>IF(AND(13&lt;&gt;24,Anmeldung!$D$20&lt;&gt;"",(Anmeldung!$B$20&amp;": "&amp;Anmeldung!$D$20&amp;", "&amp;Anmeldung!$E$20&amp;" / "&amp;Anmeldung!$G$20&amp;" / "&amp;Anmeldung!$J$20)&lt;&gt;Anmeldung!$R$31),Anmeldung!$B$20&amp;": "&amp;Anmeldung!$D$20&amp;", "&amp;Anmeldung!$E$20&amp;" / "&amp;Anmeldung!$G$20&amp;" / "&amp;Anmeldung!$J$20,"")</f>
        <v/>
      </c>
      <c r="DF7" t="str">
        <f>IF(AND(12&lt;&gt;23,Anmeldung!$D$20&lt;&gt;"",Anmeldung!$U$20="Ja",Anmeldung!$G$20=Anmeldung!$G$31,Anmeldung!$J$20=Anmeldung!$J$31),Anmeldung!$B$20&amp;": "&amp;Anmeldung!$D$20&amp;", "&amp;Anmeldung!$E$20&amp;" / "&amp;Anmeldung!$G$20&amp;" / "&amp;Anmeldung!$J$20,"")</f>
        <v/>
      </c>
      <c r="DI7" t="str">
        <f>IF(AND(13&lt;&gt;25,Anmeldung!$D$20&lt;&gt;"",Anmeldung!$G$20=Anmeldung!$G$32,Anmeldung!$J$20=Anmeldung!$J$32),Anmeldung!$B$20&amp;": "&amp;Anmeldung!$D$20&amp;", "&amp;Anmeldung!$E$20&amp;" / "&amp;Anmeldung!$G$20&amp;" / "&amp;Anmeldung!$J$20,"")</f>
        <v/>
      </c>
      <c r="DJ7" t="str">
        <f>IF(AND(13&lt;&gt;25,Anmeldung!$D$20&lt;&gt;"",Anmeldung!$G$20=Anmeldung!$G$32,Anmeldung!$J$20=Anmeldung!$J$32,(Anmeldung!$B$20&amp;": "&amp;Anmeldung!$D$20&amp;", "&amp;Anmeldung!$E$20&amp;" / "&amp;Anmeldung!$G$20&amp;" / "&amp;Anmeldung!$J$20)&lt;&gt;Anmeldung!$P$32),Anmeldung!$B$20&amp;": "&amp;Anmeldung!$D$20&amp;", "&amp;Anmeldung!$E$20&amp;" / "&amp;Anmeldung!$G$20&amp;" / "&amp;Anmeldung!$J$20,"")</f>
        <v/>
      </c>
      <c r="DK7" t="str">
        <f>IF(AND(13&lt;&gt;25,Anmeldung!$D$20&lt;&gt;"",Anmeldung!$G$20=Anmeldung!$G$32,Anmeldung!$J$20=Anmeldung!$J$32,(Anmeldung!$B$20&amp;": "&amp;Anmeldung!$D$20&amp;", "&amp;Anmeldung!$E$20&amp;" / "&amp;Anmeldung!$G$20&amp;" / "&amp;Anmeldung!$J$20)&lt;&gt;Anmeldung!$O$32),Anmeldung!$B$20&amp;": "&amp;Anmeldung!$D$20&amp;", "&amp;Anmeldung!$E$20&amp;" / "&amp;Anmeldung!$G$20&amp;" / "&amp;Anmeldung!$J$20,"")</f>
        <v/>
      </c>
      <c r="DL7" t="str">
        <f>IF(AND(13&lt;&gt;25,Anmeldung!$D$20&lt;&gt;"",Anmeldung!$G$20&lt;&gt;Anmeldung!$G$32,(Anmeldung!$B$20&amp;": "&amp;Anmeldung!$D$20&amp;", "&amp;Anmeldung!$E$20&amp;" / "&amp;Anmeldung!$G$20&amp;" / "&amp;Anmeldung!$J$20)&lt;&gt;Anmeldung!$S$32),Anmeldung!$B$20&amp;": "&amp;Anmeldung!$D$20&amp;", "&amp;Anmeldung!$E$20&amp;" / "&amp;Anmeldung!$G$20&amp;" / "&amp;Anmeldung!$J$20,"")</f>
        <v/>
      </c>
      <c r="DM7" t="str">
        <f>IF(AND(13&lt;&gt;25,Anmeldung!$D$20&lt;&gt;"",(Anmeldung!$B$20&amp;": "&amp;Anmeldung!$D$20&amp;", "&amp;Anmeldung!$E$20&amp;" / "&amp;Anmeldung!$G$20&amp;" / "&amp;Anmeldung!$J$20)&lt;&gt;Anmeldung!$R$32),Anmeldung!$B$20&amp;": "&amp;Anmeldung!$D$20&amp;", "&amp;Anmeldung!$E$20&amp;" / "&amp;Anmeldung!$G$20&amp;" / "&amp;Anmeldung!$J$20,"")</f>
        <v/>
      </c>
      <c r="DN7" t="str">
        <f>IF(AND(12&lt;&gt;24,Anmeldung!$D$20&lt;&gt;"",Anmeldung!$U$20="Ja",Anmeldung!$G$20=Anmeldung!$G$32,Anmeldung!$J$20=Anmeldung!$J$32),Anmeldung!$B$20&amp;": "&amp;Anmeldung!$D$20&amp;", "&amp;Anmeldung!$E$20&amp;" / "&amp;Anmeldung!$G$20&amp;" / "&amp;Anmeldung!$J$20,"")</f>
        <v/>
      </c>
      <c r="DQ7" t="str">
        <f>IF(AND(13&lt;&gt;26,Anmeldung!$D$20&lt;&gt;"",Anmeldung!$G$20=Anmeldung!$G$33,Anmeldung!$J$20=Anmeldung!$J$33),Anmeldung!$B$20&amp;": "&amp;Anmeldung!$D$20&amp;", "&amp;Anmeldung!$E$20&amp;" / "&amp;Anmeldung!$G$20&amp;" / "&amp;Anmeldung!$J$20,"")</f>
        <v/>
      </c>
      <c r="DR7" t="str">
        <f>IF(AND(13&lt;&gt;26,Anmeldung!$D$20&lt;&gt;"",Anmeldung!$G$20=Anmeldung!$G$33,Anmeldung!$J$20=Anmeldung!$J$33,(Anmeldung!$B$20&amp;": "&amp;Anmeldung!$D$20&amp;", "&amp;Anmeldung!$E$20&amp;" / "&amp;Anmeldung!$G$20&amp;" / "&amp;Anmeldung!$J$20)&lt;&gt;Anmeldung!$P$33),Anmeldung!$B$20&amp;": "&amp;Anmeldung!$D$20&amp;", "&amp;Anmeldung!$E$20&amp;" / "&amp;Anmeldung!$G$20&amp;" / "&amp;Anmeldung!$J$20,"")</f>
        <v/>
      </c>
      <c r="DS7" t="str">
        <f>IF(AND(13&lt;&gt;26,Anmeldung!$D$20&lt;&gt;"",Anmeldung!$G$20=Anmeldung!$G$33,Anmeldung!$J$20=Anmeldung!$J$33,(Anmeldung!$B$20&amp;": "&amp;Anmeldung!$D$20&amp;", "&amp;Anmeldung!$E$20&amp;" / "&amp;Anmeldung!$G$20&amp;" / "&amp;Anmeldung!$J$20)&lt;&gt;Anmeldung!$O$33),Anmeldung!$B$20&amp;": "&amp;Anmeldung!$D$20&amp;", "&amp;Anmeldung!$E$20&amp;" / "&amp;Anmeldung!$G$20&amp;" / "&amp;Anmeldung!$J$20,"")</f>
        <v/>
      </c>
      <c r="DT7" t="str">
        <f>IF(AND(13&lt;&gt;26,Anmeldung!$D$20&lt;&gt;"",Anmeldung!$G$20&lt;&gt;Anmeldung!$G$33,(Anmeldung!$B$20&amp;": "&amp;Anmeldung!$D$20&amp;", "&amp;Anmeldung!$E$20&amp;" / "&amp;Anmeldung!$G$20&amp;" / "&amp;Anmeldung!$J$20)&lt;&gt;Anmeldung!$S$33),Anmeldung!$B$20&amp;": "&amp;Anmeldung!$D$20&amp;", "&amp;Anmeldung!$E$20&amp;" / "&amp;Anmeldung!$G$20&amp;" / "&amp;Anmeldung!$J$20,"")</f>
        <v/>
      </c>
      <c r="DU7" t="str">
        <f>IF(AND(13&lt;&gt;26,Anmeldung!$D$20&lt;&gt;"",(Anmeldung!$B$20&amp;": "&amp;Anmeldung!$D$20&amp;", "&amp;Anmeldung!$E$20&amp;" / "&amp;Anmeldung!$G$20&amp;" / "&amp;Anmeldung!$J$20)&lt;&gt;Anmeldung!$R$33),Anmeldung!$B$20&amp;": "&amp;Anmeldung!$D$20&amp;", "&amp;Anmeldung!$E$20&amp;" / "&amp;Anmeldung!$G$20&amp;" / "&amp;Anmeldung!$J$20,"")</f>
        <v/>
      </c>
      <c r="DV7" t="str">
        <f>IF(AND(12&lt;&gt;25,Anmeldung!$D$20&lt;&gt;"",Anmeldung!$U$20="Ja",Anmeldung!$G$20=Anmeldung!$G$33,Anmeldung!$J$20=Anmeldung!$J$33),Anmeldung!$B$20&amp;": "&amp;Anmeldung!$D$20&amp;", "&amp;Anmeldung!$E$20&amp;" / "&amp;Anmeldung!$G$20&amp;" / "&amp;Anmeldung!$J$20,"")</f>
        <v/>
      </c>
      <c r="DY7" t="str">
        <f>IF(AND(13&lt;&gt;27,Anmeldung!$D$20&lt;&gt;"",Anmeldung!$G$20=Anmeldung!$G$34,Anmeldung!$J$20=Anmeldung!$J$34),Anmeldung!$B$20&amp;": "&amp;Anmeldung!$D$20&amp;", "&amp;Anmeldung!$E$20&amp;" / "&amp;Anmeldung!$G$20&amp;" / "&amp;Anmeldung!$J$20,"")</f>
        <v/>
      </c>
      <c r="DZ7" t="str">
        <f>IF(AND(13&lt;&gt;27,Anmeldung!$D$20&lt;&gt;"",Anmeldung!$G$20=Anmeldung!$G$34,Anmeldung!$J$20=Anmeldung!$J$34,(Anmeldung!$B$20&amp;": "&amp;Anmeldung!$D$20&amp;", "&amp;Anmeldung!$E$20&amp;" / "&amp;Anmeldung!$G$20&amp;" / "&amp;Anmeldung!$J$20)&lt;&gt;Anmeldung!$P$34),Anmeldung!$B$20&amp;": "&amp;Anmeldung!$D$20&amp;", "&amp;Anmeldung!$E$20&amp;" / "&amp;Anmeldung!$G$20&amp;" / "&amp;Anmeldung!$J$20,"")</f>
        <v/>
      </c>
      <c r="EA7" t="str">
        <f>IF(AND(13&lt;&gt;27,Anmeldung!$D$20&lt;&gt;"",Anmeldung!$G$20=Anmeldung!$G$34,Anmeldung!$J$20=Anmeldung!$J$34,(Anmeldung!$B$20&amp;": "&amp;Anmeldung!$D$20&amp;", "&amp;Anmeldung!$E$20&amp;" / "&amp;Anmeldung!$G$20&amp;" / "&amp;Anmeldung!$J$20)&lt;&gt;Anmeldung!$O$34),Anmeldung!$B$20&amp;": "&amp;Anmeldung!$D$20&amp;", "&amp;Anmeldung!$E$20&amp;" / "&amp;Anmeldung!$G$20&amp;" / "&amp;Anmeldung!$J$20,"")</f>
        <v/>
      </c>
      <c r="EB7" t="str">
        <f>IF(AND(13&lt;&gt;27,Anmeldung!$D$20&lt;&gt;"",Anmeldung!$G$20&lt;&gt;Anmeldung!$G$34,(Anmeldung!$B$20&amp;": "&amp;Anmeldung!$D$20&amp;", "&amp;Anmeldung!$E$20&amp;" / "&amp;Anmeldung!$G$20&amp;" / "&amp;Anmeldung!$J$20)&lt;&gt;Anmeldung!$S$34),Anmeldung!$B$20&amp;": "&amp;Anmeldung!$D$20&amp;", "&amp;Anmeldung!$E$20&amp;" / "&amp;Anmeldung!$G$20&amp;" / "&amp;Anmeldung!$J$20,"")</f>
        <v/>
      </c>
      <c r="EC7" t="str">
        <f>IF(AND(13&lt;&gt;27,Anmeldung!$D$20&lt;&gt;"",(Anmeldung!$B$20&amp;": "&amp;Anmeldung!$D$20&amp;", "&amp;Anmeldung!$E$20&amp;" / "&amp;Anmeldung!$G$20&amp;" / "&amp;Anmeldung!$J$20)&lt;&gt;Anmeldung!$R$34),Anmeldung!$B$20&amp;": "&amp;Anmeldung!$D$20&amp;", "&amp;Anmeldung!$E$20&amp;" / "&amp;Anmeldung!$G$20&amp;" / "&amp;Anmeldung!$J$20,"")</f>
        <v/>
      </c>
      <c r="ED7" t="str">
        <f>IF(AND(12&lt;&gt;26,Anmeldung!$D$20&lt;&gt;"",Anmeldung!$U$20="Ja",Anmeldung!$G$20=Anmeldung!$G$34,Anmeldung!$J$20=Anmeldung!$J$34),Anmeldung!$B$20&amp;": "&amp;Anmeldung!$D$20&amp;", "&amp;Anmeldung!$E$20&amp;" / "&amp;Anmeldung!$G$20&amp;" / "&amp;Anmeldung!$J$20,"")</f>
        <v/>
      </c>
      <c r="EG7" t="str">
        <f>IF(AND(13&lt;&gt;28,Anmeldung!$D$20&lt;&gt;"",Anmeldung!$G$20=Anmeldung!$G$35,Anmeldung!$J$20=Anmeldung!$J$35),Anmeldung!$B$20&amp;": "&amp;Anmeldung!$D$20&amp;", "&amp;Anmeldung!$E$20&amp;" / "&amp;Anmeldung!$G$20&amp;" / "&amp;Anmeldung!$J$20,"")</f>
        <v/>
      </c>
      <c r="EH7" t="str">
        <f>IF(AND(13&lt;&gt;28,Anmeldung!$D$20&lt;&gt;"",Anmeldung!$G$20=Anmeldung!$G$35,Anmeldung!$J$20=Anmeldung!$J$35,(Anmeldung!$B$20&amp;": "&amp;Anmeldung!$D$20&amp;", "&amp;Anmeldung!$E$20&amp;" / "&amp;Anmeldung!$G$20&amp;" / "&amp;Anmeldung!$J$20)&lt;&gt;Anmeldung!$P$35),Anmeldung!$B$20&amp;": "&amp;Anmeldung!$D$20&amp;", "&amp;Anmeldung!$E$20&amp;" / "&amp;Anmeldung!$G$20&amp;" / "&amp;Anmeldung!$J$20,"")</f>
        <v/>
      </c>
      <c r="EI7" t="str">
        <f>IF(AND(13&lt;&gt;28,Anmeldung!$D$20&lt;&gt;"",Anmeldung!$G$20=Anmeldung!$G$35,Anmeldung!$J$20=Anmeldung!$J$35,(Anmeldung!$B$20&amp;": "&amp;Anmeldung!$D$20&amp;", "&amp;Anmeldung!$E$20&amp;" / "&amp;Anmeldung!$G$20&amp;" / "&amp;Anmeldung!$J$20)&lt;&gt;Anmeldung!$O$35),Anmeldung!$B$20&amp;": "&amp;Anmeldung!$D$20&amp;", "&amp;Anmeldung!$E$20&amp;" / "&amp;Anmeldung!$G$20&amp;" / "&amp;Anmeldung!$J$20,"")</f>
        <v/>
      </c>
      <c r="EJ7" t="str">
        <f>IF(AND(13&lt;&gt;28,Anmeldung!$D$20&lt;&gt;"",Anmeldung!$G$20&lt;&gt;Anmeldung!$G$35,(Anmeldung!$B$20&amp;": "&amp;Anmeldung!$D$20&amp;", "&amp;Anmeldung!$E$20&amp;" / "&amp;Anmeldung!$G$20&amp;" / "&amp;Anmeldung!$J$20)&lt;&gt;Anmeldung!$S$35),Anmeldung!$B$20&amp;": "&amp;Anmeldung!$D$20&amp;", "&amp;Anmeldung!$E$20&amp;" / "&amp;Anmeldung!$G$20&amp;" / "&amp;Anmeldung!$J$20,"")</f>
        <v/>
      </c>
      <c r="EK7" t="str">
        <f>IF(AND(13&lt;&gt;28,Anmeldung!$D$20&lt;&gt;"",(Anmeldung!$B$20&amp;": "&amp;Anmeldung!$D$20&amp;", "&amp;Anmeldung!$E$20&amp;" / "&amp;Anmeldung!$G$20&amp;" / "&amp;Anmeldung!$J$20)&lt;&gt;Anmeldung!$R$35),Anmeldung!$B$20&amp;": "&amp;Anmeldung!$D$20&amp;", "&amp;Anmeldung!$E$20&amp;" / "&amp;Anmeldung!$G$20&amp;" / "&amp;Anmeldung!$J$20,"")</f>
        <v/>
      </c>
      <c r="EL7" t="str">
        <f>IF(AND(12&lt;&gt;27,Anmeldung!$D$20&lt;&gt;"",Anmeldung!$U$20="Ja",Anmeldung!$G$20=Anmeldung!$G$35,Anmeldung!$J$20=Anmeldung!$J$35),Anmeldung!$B$20&amp;": "&amp;Anmeldung!$D$20&amp;", "&amp;Anmeldung!$E$20&amp;" / "&amp;Anmeldung!$G$20&amp;" / "&amp;Anmeldung!$J$20,"")</f>
        <v/>
      </c>
      <c r="EO7" t="str">
        <f>IF(AND(13&lt;&gt;29,Anmeldung!$D$20&lt;&gt;"",Anmeldung!$G$20=Anmeldung!$G$36,Anmeldung!$J$20=Anmeldung!$J$36),Anmeldung!$B$20&amp;": "&amp;Anmeldung!$D$20&amp;", "&amp;Anmeldung!$E$20&amp;" / "&amp;Anmeldung!$G$20&amp;" / "&amp;Anmeldung!$J$20,"")</f>
        <v/>
      </c>
      <c r="EP7" t="str">
        <f>IF(AND(13&lt;&gt;29,Anmeldung!$D$20&lt;&gt;"",Anmeldung!$G$20=Anmeldung!$G$36,Anmeldung!$J$20=Anmeldung!$J$36,(Anmeldung!$B$20&amp;": "&amp;Anmeldung!$D$20&amp;", "&amp;Anmeldung!$E$20&amp;" / "&amp;Anmeldung!$G$20&amp;" / "&amp;Anmeldung!$J$20)&lt;&gt;Anmeldung!$P$36),Anmeldung!$B$20&amp;": "&amp;Anmeldung!$D$20&amp;", "&amp;Anmeldung!$E$20&amp;" / "&amp;Anmeldung!$G$20&amp;" / "&amp;Anmeldung!$J$20,"")</f>
        <v/>
      </c>
      <c r="EQ7" t="str">
        <f>IF(AND(13&lt;&gt;29,Anmeldung!$D$20&lt;&gt;"",Anmeldung!$G$20=Anmeldung!$G$36,Anmeldung!$J$20=Anmeldung!$J$36,(Anmeldung!$B$20&amp;": "&amp;Anmeldung!$D$20&amp;", "&amp;Anmeldung!$E$20&amp;" / "&amp;Anmeldung!$G$20&amp;" / "&amp;Anmeldung!$J$20)&lt;&gt;Anmeldung!$O$36),Anmeldung!$B$20&amp;": "&amp;Anmeldung!$D$20&amp;", "&amp;Anmeldung!$E$20&amp;" / "&amp;Anmeldung!$G$20&amp;" / "&amp;Anmeldung!$J$20,"")</f>
        <v/>
      </c>
      <c r="ER7" t="str">
        <f>IF(AND(13&lt;&gt;29,Anmeldung!$D$20&lt;&gt;"",Anmeldung!$G$20&lt;&gt;Anmeldung!$G$36,(Anmeldung!$B$20&amp;": "&amp;Anmeldung!$D$20&amp;", "&amp;Anmeldung!$E$20&amp;" / "&amp;Anmeldung!$G$20&amp;" / "&amp;Anmeldung!$J$20)&lt;&gt;Anmeldung!$S$36),Anmeldung!$B$20&amp;": "&amp;Anmeldung!$D$20&amp;", "&amp;Anmeldung!$E$20&amp;" / "&amp;Anmeldung!$G$20&amp;" / "&amp;Anmeldung!$J$20,"")</f>
        <v/>
      </c>
      <c r="ES7" t="str">
        <f>IF(AND(13&lt;&gt;29,Anmeldung!$D$20&lt;&gt;"",(Anmeldung!$B$20&amp;": "&amp;Anmeldung!$D$20&amp;", "&amp;Anmeldung!$E$20&amp;" / "&amp;Anmeldung!$G$20&amp;" / "&amp;Anmeldung!$J$20)&lt;&gt;Anmeldung!$R$36),Anmeldung!$B$20&amp;": "&amp;Anmeldung!$D$20&amp;", "&amp;Anmeldung!$E$20&amp;" / "&amp;Anmeldung!$G$20&amp;" / "&amp;Anmeldung!$J$20,"")</f>
        <v/>
      </c>
      <c r="ET7" t="str">
        <f>IF(AND(12&lt;&gt;28,Anmeldung!$D$20&lt;&gt;"",Anmeldung!$U$20="Ja",Anmeldung!$G$20=Anmeldung!$G$36,Anmeldung!$J$20=Anmeldung!$J$36),Anmeldung!$B$20&amp;": "&amp;Anmeldung!$D$20&amp;", "&amp;Anmeldung!$E$20&amp;" / "&amp;Anmeldung!$G$20&amp;" / "&amp;Anmeldung!$J$20,"")</f>
        <v/>
      </c>
      <c r="EW7" t="str">
        <f>IF(AND(13&lt;&gt;30,Anmeldung!$D$20&lt;&gt;"",Anmeldung!$G$20=Anmeldung!$G$37,Anmeldung!$J$20=Anmeldung!$J$37),Anmeldung!$B$20&amp;": "&amp;Anmeldung!$D$20&amp;", "&amp;Anmeldung!$E$20&amp;" / "&amp;Anmeldung!$G$20&amp;" / "&amp;Anmeldung!$J$20,"")</f>
        <v/>
      </c>
      <c r="EX7" t="str">
        <f>IF(AND(13&lt;&gt;30,Anmeldung!$D$20&lt;&gt;"",Anmeldung!$G$20=Anmeldung!$G$37,Anmeldung!$J$20=Anmeldung!$J$37,(Anmeldung!$B$20&amp;": "&amp;Anmeldung!$D$20&amp;", "&amp;Anmeldung!$E$20&amp;" / "&amp;Anmeldung!$G$20&amp;" / "&amp;Anmeldung!$J$20)&lt;&gt;Anmeldung!$P$37),Anmeldung!$B$20&amp;": "&amp;Anmeldung!$D$20&amp;", "&amp;Anmeldung!$E$20&amp;" / "&amp;Anmeldung!$G$20&amp;" / "&amp;Anmeldung!$J$20,"")</f>
        <v/>
      </c>
      <c r="EY7" t="str">
        <f>IF(AND(13&lt;&gt;30,Anmeldung!$D$20&lt;&gt;"",Anmeldung!$G$20=Anmeldung!$G$37,Anmeldung!$J$20=Anmeldung!$J$37,(Anmeldung!$B$20&amp;": "&amp;Anmeldung!$D$20&amp;", "&amp;Anmeldung!$E$20&amp;" / "&amp;Anmeldung!$G$20&amp;" / "&amp;Anmeldung!$J$20)&lt;&gt;Anmeldung!$O$37),Anmeldung!$B$20&amp;": "&amp;Anmeldung!$D$20&amp;", "&amp;Anmeldung!$E$20&amp;" / "&amp;Anmeldung!$G$20&amp;" / "&amp;Anmeldung!$J$20,"")</f>
        <v/>
      </c>
      <c r="EZ7" t="str">
        <f>IF(AND(13&lt;&gt;30,Anmeldung!$D$20&lt;&gt;"",Anmeldung!$G$20&lt;&gt;Anmeldung!$G$37,(Anmeldung!$B$20&amp;": "&amp;Anmeldung!$D$20&amp;", "&amp;Anmeldung!$E$20&amp;" / "&amp;Anmeldung!$G$20&amp;" / "&amp;Anmeldung!$J$20)&lt;&gt;Anmeldung!$S$37),Anmeldung!$B$20&amp;": "&amp;Anmeldung!$D$20&amp;", "&amp;Anmeldung!$E$20&amp;" / "&amp;Anmeldung!$G$20&amp;" / "&amp;Anmeldung!$J$20,"")</f>
        <v/>
      </c>
      <c r="FA7" t="str">
        <f>IF(AND(13&lt;&gt;30,Anmeldung!$D$20&lt;&gt;"",(Anmeldung!$B$20&amp;": "&amp;Anmeldung!$D$20&amp;", "&amp;Anmeldung!$E$20&amp;" / "&amp;Anmeldung!$G$20&amp;" / "&amp;Anmeldung!$J$20)&lt;&gt;Anmeldung!$R$37),Anmeldung!$B$20&amp;": "&amp;Anmeldung!$D$20&amp;", "&amp;Anmeldung!$E$20&amp;" / "&amp;Anmeldung!$G$20&amp;" / "&amp;Anmeldung!$J$20,"")</f>
        <v/>
      </c>
      <c r="FB7" t="str">
        <f>IF(AND(12&lt;&gt;29,Anmeldung!$D$20&lt;&gt;"",Anmeldung!$U$20="Ja",Anmeldung!$G$20=Anmeldung!$G$37,Anmeldung!$J$20=Anmeldung!$J$37),Anmeldung!$B$20&amp;": "&amp;Anmeldung!$D$20&amp;", "&amp;Anmeldung!$E$20&amp;" / "&amp;Anmeldung!$G$20&amp;" / "&amp;Anmeldung!$J$20,"")</f>
        <v/>
      </c>
      <c r="FE7" t="str">
        <f>IF(AND(13&lt;&gt;31,Anmeldung!$D$20&lt;&gt;"",Anmeldung!$G$20=Anmeldung!$G$38,Anmeldung!$J$20=Anmeldung!$J$38),Anmeldung!$B$20&amp;": "&amp;Anmeldung!$D$20&amp;", "&amp;Anmeldung!$E$20&amp;" / "&amp;Anmeldung!$G$20&amp;" / "&amp;Anmeldung!$J$20,"")</f>
        <v/>
      </c>
      <c r="FF7" t="str">
        <f>IF(AND(13&lt;&gt;31,Anmeldung!$D$20&lt;&gt;"",Anmeldung!$G$20=Anmeldung!$G$38,Anmeldung!$J$20=Anmeldung!$J$38,(Anmeldung!$B$20&amp;": "&amp;Anmeldung!$D$20&amp;", "&amp;Anmeldung!$E$20&amp;" / "&amp;Anmeldung!$G$20&amp;" / "&amp;Anmeldung!$J$20)&lt;&gt;Anmeldung!$P$38),Anmeldung!$B$20&amp;": "&amp;Anmeldung!$D$20&amp;", "&amp;Anmeldung!$E$20&amp;" / "&amp;Anmeldung!$G$20&amp;" / "&amp;Anmeldung!$J$20,"")</f>
        <v/>
      </c>
      <c r="FG7" t="str">
        <f>IF(AND(13&lt;&gt;31,Anmeldung!$D$20&lt;&gt;"",Anmeldung!$G$20=Anmeldung!$G$38,Anmeldung!$J$20=Anmeldung!$J$38,(Anmeldung!$B$20&amp;": "&amp;Anmeldung!$D$20&amp;", "&amp;Anmeldung!$E$20&amp;" / "&amp;Anmeldung!$G$20&amp;" / "&amp;Anmeldung!$J$20)&lt;&gt;Anmeldung!$O$38),Anmeldung!$B$20&amp;": "&amp;Anmeldung!$D$20&amp;", "&amp;Anmeldung!$E$20&amp;" / "&amp;Anmeldung!$G$20&amp;" / "&amp;Anmeldung!$J$20,"")</f>
        <v/>
      </c>
      <c r="FH7" t="str">
        <f>IF(AND(13&lt;&gt;31,Anmeldung!$D$20&lt;&gt;"",Anmeldung!$G$20&lt;&gt;Anmeldung!$G$38,(Anmeldung!$B$20&amp;": "&amp;Anmeldung!$D$20&amp;", "&amp;Anmeldung!$E$20&amp;" / "&amp;Anmeldung!$G$20&amp;" / "&amp;Anmeldung!$J$20)&lt;&gt;Anmeldung!$S$38),Anmeldung!$B$20&amp;": "&amp;Anmeldung!$D$20&amp;", "&amp;Anmeldung!$E$20&amp;" / "&amp;Anmeldung!$G$20&amp;" / "&amp;Anmeldung!$J$20,"")</f>
        <v/>
      </c>
      <c r="FI7" t="str">
        <f>IF(AND(13&lt;&gt;31,Anmeldung!$D$20&lt;&gt;"",(Anmeldung!$B$20&amp;": "&amp;Anmeldung!$D$20&amp;", "&amp;Anmeldung!$E$20&amp;" / "&amp;Anmeldung!$G$20&amp;" / "&amp;Anmeldung!$J$20)&lt;&gt;Anmeldung!$R$38),Anmeldung!$B$20&amp;": "&amp;Anmeldung!$D$20&amp;", "&amp;Anmeldung!$E$20&amp;" / "&amp;Anmeldung!$G$20&amp;" / "&amp;Anmeldung!$J$20,"")</f>
        <v/>
      </c>
      <c r="FJ7" t="str">
        <f>IF(AND(12&lt;&gt;30,Anmeldung!$D$20&lt;&gt;"",Anmeldung!$U$20="Ja",Anmeldung!$G$20=Anmeldung!$G$38,Anmeldung!$J$20=Anmeldung!$J$38),Anmeldung!$B$20&amp;": "&amp;Anmeldung!$D$20&amp;", "&amp;Anmeldung!$E$20&amp;" / "&amp;Anmeldung!$G$20&amp;" / "&amp;Anmeldung!$J$20,"")</f>
        <v/>
      </c>
      <c r="FM7" t="str">
        <f>IF(AND(13&lt;&gt;32,Anmeldung!$D$20&lt;&gt;"",Anmeldung!$G$20=Anmeldung!$G$39,Anmeldung!$J$20=Anmeldung!$J$39),Anmeldung!$B$20&amp;": "&amp;Anmeldung!$D$20&amp;", "&amp;Anmeldung!$E$20&amp;" / "&amp;Anmeldung!$G$20&amp;" / "&amp;Anmeldung!$J$20,"")</f>
        <v/>
      </c>
      <c r="FN7" t="str">
        <f>IF(AND(13&lt;&gt;32,Anmeldung!$D$20&lt;&gt;"",Anmeldung!$G$20=Anmeldung!$G$39,Anmeldung!$J$20=Anmeldung!$J$39,(Anmeldung!$B$20&amp;": "&amp;Anmeldung!$D$20&amp;", "&amp;Anmeldung!$E$20&amp;" / "&amp;Anmeldung!$G$20&amp;" / "&amp;Anmeldung!$J$20)&lt;&gt;Anmeldung!$P$39),Anmeldung!$B$20&amp;": "&amp;Anmeldung!$D$20&amp;", "&amp;Anmeldung!$E$20&amp;" / "&amp;Anmeldung!$G$20&amp;" / "&amp;Anmeldung!$J$20,"")</f>
        <v/>
      </c>
      <c r="FO7" t="str">
        <f>IF(AND(13&lt;&gt;32,Anmeldung!$D$20&lt;&gt;"",Anmeldung!$G$20=Anmeldung!$G$39,Anmeldung!$J$20=Anmeldung!$J$39,(Anmeldung!$B$20&amp;": "&amp;Anmeldung!$D$20&amp;", "&amp;Anmeldung!$E$20&amp;" / "&amp;Anmeldung!$G$20&amp;" / "&amp;Anmeldung!$J$20)&lt;&gt;Anmeldung!$O$39),Anmeldung!$B$20&amp;": "&amp;Anmeldung!$D$20&amp;", "&amp;Anmeldung!$E$20&amp;" / "&amp;Anmeldung!$G$20&amp;" / "&amp;Anmeldung!$J$20,"")</f>
        <v/>
      </c>
      <c r="FP7" t="str">
        <f>IF(AND(13&lt;&gt;32,Anmeldung!$D$20&lt;&gt;"",Anmeldung!$G$20&lt;&gt;Anmeldung!$G$39,(Anmeldung!$B$20&amp;": "&amp;Anmeldung!$D$20&amp;", "&amp;Anmeldung!$E$20&amp;" / "&amp;Anmeldung!$G$20&amp;" / "&amp;Anmeldung!$J$20)&lt;&gt;Anmeldung!$S$39),Anmeldung!$B$20&amp;": "&amp;Anmeldung!$D$20&amp;", "&amp;Anmeldung!$E$20&amp;" / "&amp;Anmeldung!$G$20&amp;" / "&amp;Anmeldung!$J$20,"")</f>
        <v/>
      </c>
      <c r="FQ7" t="str">
        <f>IF(AND(13&lt;&gt;32,Anmeldung!$D$20&lt;&gt;"",(Anmeldung!$B$20&amp;": "&amp;Anmeldung!$D$20&amp;", "&amp;Anmeldung!$E$20&amp;" / "&amp;Anmeldung!$G$20&amp;" / "&amp;Anmeldung!$J$20)&lt;&gt;Anmeldung!$R$39),Anmeldung!$B$20&amp;": "&amp;Anmeldung!$D$20&amp;", "&amp;Anmeldung!$E$20&amp;" / "&amp;Anmeldung!$G$20&amp;" / "&amp;Anmeldung!$J$20,"")</f>
        <v/>
      </c>
      <c r="FR7" t="str">
        <f>IF(AND(12&lt;&gt;31,Anmeldung!$D$20&lt;&gt;"",Anmeldung!$U$20="Ja",Anmeldung!$G$20=Anmeldung!$G$39,Anmeldung!$J$20=Anmeldung!$J$39),Anmeldung!$B$20&amp;": "&amp;Anmeldung!$D$20&amp;", "&amp;Anmeldung!$E$20&amp;" / "&amp;Anmeldung!$G$20&amp;" / "&amp;Anmeldung!$J$20,"")</f>
        <v/>
      </c>
      <c r="FU7" t="str">
        <f>IF(AND(13&lt;&gt;33,Anmeldung!$D$20&lt;&gt;"",Anmeldung!$G$20=Anmeldung!$G$40,Anmeldung!$J$20=Anmeldung!$J$40),Anmeldung!$B$20&amp;": "&amp;Anmeldung!$D$20&amp;", "&amp;Anmeldung!$E$20&amp;" / "&amp;Anmeldung!$G$20&amp;" / "&amp;Anmeldung!$J$20,"")</f>
        <v/>
      </c>
      <c r="FV7" t="str">
        <f>IF(AND(13&lt;&gt;33,Anmeldung!$D$20&lt;&gt;"",Anmeldung!$G$20=Anmeldung!$G$40,Anmeldung!$J$20=Anmeldung!$J$40,(Anmeldung!$B$20&amp;": "&amp;Anmeldung!$D$20&amp;", "&amp;Anmeldung!$E$20&amp;" / "&amp;Anmeldung!$G$20&amp;" / "&amp;Anmeldung!$J$20)&lt;&gt;Anmeldung!$P$40),Anmeldung!$B$20&amp;": "&amp;Anmeldung!$D$20&amp;", "&amp;Anmeldung!$E$20&amp;" / "&amp;Anmeldung!$G$20&amp;" / "&amp;Anmeldung!$J$20,"")</f>
        <v/>
      </c>
      <c r="FW7" t="str">
        <f>IF(AND(13&lt;&gt;33,Anmeldung!$D$20&lt;&gt;"",Anmeldung!$G$20=Anmeldung!$G$40,Anmeldung!$J$20=Anmeldung!$J$40,(Anmeldung!$B$20&amp;": "&amp;Anmeldung!$D$20&amp;", "&amp;Anmeldung!$E$20&amp;" / "&amp;Anmeldung!$G$20&amp;" / "&amp;Anmeldung!$J$20)&lt;&gt;Anmeldung!$O$40),Anmeldung!$B$20&amp;": "&amp;Anmeldung!$D$20&amp;", "&amp;Anmeldung!$E$20&amp;" / "&amp;Anmeldung!$G$20&amp;" / "&amp;Anmeldung!$J$20,"")</f>
        <v/>
      </c>
      <c r="FX7" t="str">
        <f>IF(AND(13&lt;&gt;33,Anmeldung!$D$20&lt;&gt;"",Anmeldung!$G$20&lt;&gt;Anmeldung!$G$40,(Anmeldung!$B$20&amp;": "&amp;Anmeldung!$D$20&amp;", "&amp;Anmeldung!$E$20&amp;" / "&amp;Anmeldung!$G$20&amp;" / "&amp;Anmeldung!$J$20)&lt;&gt;Anmeldung!$S$40),Anmeldung!$B$20&amp;": "&amp;Anmeldung!$D$20&amp;", "&amp;Anmeldung!$E$20&amp;" / "&amp;Anmeldung!$G$20&amp;" / "&amp;Anmeldung!$J$20,"")</f>
        <v/>
      </c>
      <c r="FY7" t="str">
        <f>IF(AND(13&lt;&gt;33,Anmeldung!$D$20&lt;&gt;"",(Anmeldung!$B$20&amp;": "&amp;Anmeldung!$D$20&amp;", "&amp;Anmeldung!$E$20&amp;" / "&amp;Anmeldung!$G$20&amp;" / "&amp;Anmeldung!$J$20)&lt;&gt;Anmeldung!$R$40),Anmeldung!$B$20&amp;": "&amp;Anmeldung!$D$20&amp;", "&amp;Anmeldung!$E$20&amp;" / "&amp;Anmeldung!$G$20&amp;" / "&amp;Anmeldung!$J$20,"")</f>
        <v/>
      </c>
      <c r="FZ7" t="str">
        <f>IF(AND(12&lt;&gt;32,Anmeldung!$D$20&lt;&gt;"",Anmeldung!$U$20="Ja",Anmeldung!$G$20=Anmeldung!$G$40,Anmeldung!$J$20=Anmeldung!$J$40),Anmeldung!$B$20&amp;": "&amp;Anmeldung!$D$20&amp;", "&amp;Anmeldung!$E$20&amp;" / "&amp;Anmeldung!$G$20&amp;" / "&amp;Anmeldung!$J$20,"")</f>
        <v/>
      </c>
      <c r="GC7" t="str">
        <f>IF(AND(13&lt;&gt;34,Anmeldung!$D$20&lt;&gt;"",Anmeldung!$G$20=Anmeldung!$G$41,Anmeldung!$J$20=Anmeldung!$J$41),Anmeldung!$B$20&amp;": "&amp;Anmeldung!$D$20&amp;", "&amp;Anmeldung!$E$20&amp;" / "&amp;Anmeldung!$G$20&amp;" / "&amp;Anmeldung!$J$20,"")</f>
        <v/>
      </c>
      <c r="GD7" t="str">
        <f>IF(AND(13&lt;&gt;34,Anmeldung!$D$20&lt;&gt;"",Anmeldung!$G$20=Anmeldung!$G$41,Anmeldung!$J$20=Anmeldung!$J$41,(Anmeldung!$B$20&amp;": "&amp;Anmeldung!$D$20&amp;", "&amp;Anmeldung!$E$20&amp;" / "&amp;Anmeldung!$G$20&amp;" / "&amp;Anmeldung!$J$20)&lt;&gt;Anmeldung!$P$41),Anmeldung!$B$20&amp;": "&amp;Anmeldung!$D$20&amp;", "&amp;Anmeldung!$E$20&amp;" / "&amp;Anmeldung!$G$20&amp;" / "&amp;Anmeldung!$J$20,"")</f>
        <v/>
      </c>
      <c r="GE7" t="str">
        <f>IF(AND(13&lt;&gt;34,Anmeldung!$D$20&lt;&gt;"",Anmeldung!$G$20=Anmeldung!$G$41,Anmeldung!$J$20=Anmeldung!$J$41,(Anmeldung!$B$20&amp;": "&amp;Anmeldung!$D$20&amp;", "&amp;Anmeldung!$E$20&amp;" / "&amp;Anmeldung!$G$20&amp;" / "&amp;Anmeldung!$J$20)&lt;&gt;Anmeldung!$O$41),Anmeldung!$B$20&amp;": "&amp;Anmeldung!$D$20&amp;", "&amp;Anmeldung!$E$20&amp;" / "&amp;Anmeldung!$G$20&amp;" / "&amp;Anmeldung!$J$20,"")</f>
        <v/>
      </c>
      <c r="GF7" t="str">
        <f>IF(AND(13&lt;&gt;34,Anmeldung!$D$20&lt;&gt;"",Anmeldung!$G$20&lt;&gt;Anmeldung!$G$41,(Anmeldung!$B$20&amp;": "&amp;Anmeldung!$D$20&amp;", "&amp;Anmeldung!$E$20&amp;" / "&amp;Anmeldung!$G$20&amp;" / "&amp;Anmeldung!$J$20)&lt;&gt;Anmeldung!$S$41),Anmeldung!$B$20&amp;": "&amp;Anmeldung!$D$20&amp;", "&amp;Anmeldung!$E$20&amp;" / "&amp;Anmeldung!$G$20&amp;" / "&amp;Anmeldung!$J$20,"")</f>
        <v/>
      </c>
      <c r="GG7" t="str">
        <f>IF(AND(13&lt;&gt;34,Anmeldung!$D$20&lt;&gt;"",(Anmeldung!$B$20&amp;": "&amp;Anmeldung!$D$20&amp;", "&amp;Anmeldung!$E$20&amp;" / "&amp;Anmeldung!$G$20&amp;" / "&amp;Anmeldung!$J$20)&lt;&gt;Anmeldung!$R$41),Anmeldung!$B$20&amp;": "&amp;Anmeldung!$D$20&amp;", "&amp;Anmeldung!$E$20&amp;" / "&amp;Anmeldung!$G$20&amp;" / "&amp;Anmeldung!$J$20,"")</f>
        <v/>
      </c>
      <c r="GH7" t="str">
        <f>IF(AND(12&lt;&gt;33,Anmeldung!$D$20&lt;&gt;"",Anmeldung!$U$20="Ja",Anmeldung!$G$20=Anmeldung!$G$41,Anmeldung!$J$20=Anmeldung!$J$41),Anmeldung!$B$20&amp;": "&amp;Anmeldung!$D$20&amp;", "&amp;Anmeldung!$E$20&amp;" / "&amp;Anmeldung!$G$20&amp;" / "&amp;Anmeldung!$J$20,"")</f>
        <v/>
      </c>
      <c r="GK7" t="str">
        <f>IF(AND(13&lt;&gt;35,Anmeldung!$D$20&lt;&gt;"",Anmeldung!$G$20=Anmeldung!$G$42,Anmeldung!$J$20=Anmeldung!$J$42),Anmeldung!$B$20&amp;": "&amp;Anmeldung!$D$20&amp;", "&amp;Anmeldung!$E$20&amp;" / "&amp;Anmeldung!$G$20&amp;" / "&amp;Anmeldung!$J$20,"")</f>
        <v/>
      </c>
      <c r="GL7" t="str">
        <f>IF(AND(13&lt;&gt;35,Anmeldung!$D$20&lt;&gt;"",Anmeldung!$G$20=Anmeldung!$G$42,Anmeldung!$J$20=Anmeldung!$J$42,(Anmeldung!$B$20&amp;": "&amp;Anmeldung!$D$20&amp;", "&amp;Anmeldung!$E$20&amp;" / "&amp;Anmeldung!$G$20&amp;" / "&amp;Anmeldung!$J$20)&lt;&gt;Anmeldung!$P$42),Anmeldung!$B$20&amp;": "&amp;Anmeldung!$D$20&amp;", "&amp;Anmeldung!$E$20&amp;" / "&amp;Anmeldung!$G$20&amp;" / "&amp;Anmeldung!$J$20,"")</f>
        <v/>
      </c>
      <c r="GM7" t="str">
        <f>IF(AND(13&lt;&gt;35,Anmeldung!$D$20&lt;&gt;"",Anmeldung!$G$20=Anmeldung!$G$42,Anmeldung!$J$20=Anmeldung!$J$42,(Anmeldung!$B$20&amp;": "&amp;Anmeldung!$D$20&amp;", "&amp;Anmeldung!$E$20&amp;" / "&amp;Anmeldung!$G$20&amp;" / "&amp;Anmeldung!$J$20)&lt;&gt;Anmeldung!$O$42),Anmeldung!$B$20&amp;": "&amp;Anmeldung!$D$20&amp;", "&amp;Anmeldung!$E$20&amp;" / "&amp;Anmeldung!$G$20&amp;" / "&amp;Anmeldung!$J$20,"")</f>
        <v/>
      </c>
      <c r="GN7" t="str">
        <f>IF(AND(13&lt;&gt;35,Anmeldung!$D$20&lt;&gt;"",Anmeldung!$G$20&lt;&gt;Anmeldung!$G$42,(Anmeldung!$B$20&amp;": "&amp;Anmeldung!$D$20&amp;", "&amp;Anmeldung!$E$20&amp;" / "&amp;Anmeldung!$G$20&amp;" / "&amp;Anmeldung!$J$20)&lt;&gt;Anmeldung!$S$42),Anmeldung!$B$20&amp;": "&amp;Anmeldung!$D$20&amp;", "&amp;Anmeldung!$E$20&amp;" / "&amp;Anmeldung!$G$20&amp;" / "&amp;Anmeldung!$J$20,"")</f>
        <v/>
      </c>
      <c r="GO7" t="str">
        <f>IF(AND(13&lt;&gt;35,Anmeldung!$D$20&lt;&gt;"",(Anmeldung!$B$20&amp;": "&amp;Anmeldung!$D$20&amp;", "&amp;Anmeldung!$E$20&amp;" / "&amp;Anmeldung!$G$20&amp;" / "&amp;Anmeldung!$J$20)&lt;&gt;Anmeldung!$R$42),Anmeldung!$B$20&amp;": "&amp;Anmeldung!$D$20&amp;", "&amp;Anmeldung!$E$20&amp;" / "&amp;Anmeldung!$G$20&amp;" / "&amp;Anmeldung!$J$20,"")</f>
        <v/>
      </c>
      <c r="GP7" t="str">
        <f>IF(AND(12&lt;&gt;34,Anmeldung!$D$20&lt;&gt;"",Anmeldung!$U$20="Ja",Anmeldung!$G$20=Anmeldung!$G$42,Anmeldung!$J$20=Anmeldung!$J$42),Anmeldung!$B$20&amp;": "&amp;Anmeldung!$D$20&amp;", "&amp;Anmeldung!$E$20&amp;" / "&amp;Anmeldung!$G$20&amp;" / "&amp;Anmeldung!$J$20,"")</f>
        <v/>
      </c>
      <c r="GS7" t="str">
        <f>IF(AND(13&lt;&gt;36,Anmeldung!$D$20&lt;&gt;"",Anmeldung!$G$20=Anmeldung!$G$43,Anmeldung!$J$20=Anmeldung!$J$43),Anmeldung!$B$20&amp;": "&amp;Anmeldung!$D$20&amp;", "&amp;Anmeldung!$E$20&amp;" / "&amp;Anmeldung!$G$20&amp;" / "&amp;Anmeldung!$J$20,"")</f>
        <v/>
      </c>
      <c r="GT7" t="str">
        <f>IF(AND(13&lt;&gt;36,Anmeldung!$D$20&lt;&gt;"",Anmeldung!$G$20=Anmeldung!$G$43,Anmeldung!$J$20=Anmeldung!$J$43,(Anmeldung!$B$20&amp;": "&amp;Anmeldung!$D$20&amp;", "&amp;Anmeldung!$E$20&amp;" / "&amp;Anmeldung!$G$20&amp;" / "&amp;Anmeldung!$J$20)&lt;&gt;Anmeldung!$P$43),Anmeldung!$B$20&amp;": "&amp;Anmeldung!$D$20&amp;", "&amp;Anmeldung!$E$20&amp;" / "&amp;Anmeldung!$G$20&amp;" / "&amp;Anmeldung!$J$20,"")</f>
        <v/>
      </c>
      <c r="GU7" t="str">
        <f>IF(AND(13&lt;&gt;36,Anmeldung!$D$20&lt;&gt;"",Anmeldung!$G$20=Anmeldung!$G$43,Anmeldung!$J$20=Anmeldung!$J$43,(Anmeldung!$B$20&amp;": "&amp;Anmeldung!$D$20&amp;", "&amp;Anmeldung!$E$20&amp;" / "&amp;Anmeldung!$G$20&amp;" / "&amp;Anmeldung!$J$20)&lt;&gt;Anmeldung!$O$43),Anmeldung!$B$20&amp;": "&amp;Anmeldung!$D$20&amp;", "&amp;Anmeldung!$E$20&amp;" / "&amp;Anmeldung!$G$20&amp;" / "&amp;Anmeldung!$J$20,"")</f>
        <v/>
      </c>
      <c r="GV7" t="str">
        <f>IF(AND(13&lt;&gt;36,Anmeldung!$D$20&lt;&gt;"",Anmeldung!$G$20&lt;&gt;Anmeldung!$G$43,(Anmeldung!$B$20&amp;": "&amp;Anmeldung!$D$20&amp;", "&amp;Anmeldung!$E$20&amp;" / "&amp;Anmeldung!$G$20&amp;" / "&amp;Anmeldung!$J$20)&lt;&gt;Anmeldung!$S$43),Anmeldung!$B$20&amp;": "&amp;Anmeldung!$D$20&amp;", "&amp;Anmeldung!$E$20&amp;" / "&amp;Anmeldung!$G$20&amp;" / "&amp;Anmeldung!$J$20,"")</f>
        <v/>
      </c>
      <c r="GW7" t="str">
        <f>IF(AND(13&lt;&gt;36,Anmeldung!$D$20&lt;&gt;"",(Anmeldung!$B$20&amp;": "&amp;Anmeldung!$D$20&amp;", "&amp;Anmeldung!$E$20&amp;" / "&amp;Anmeldung!$G$20&amp;" / "&amp;Anmeldung!$J$20)&lt;&gt;Anmeldung!$R$43),Anmeldung!$B$20&amp;": "&amp;Anmeldung!$D$20&amp;", "&amp;Anmeldung!$E$20&amp;" / "&amp;Anmeldung!$G$20&amp;" / "&amp;Anmeldung!$J$20,"")</f>
        <v/>
      </c>
      <c r="GX7" t="str">
        <f>IF(AND(12&lt;&gt;35,Anmeldung!$D$20&lt;&gt;"",Anmeldung!$U$20="Ja",Anmeldung!$G$20=Anmeldung!$G$43,Anmeldung!$J$20=Anmeldung!$J$43),Anmeldung!$B$20&amp;": "&amp;Anmeldung!$D$20&amp;", "&amp;Anmeldung!$E$20&amp;" / "&amp;Anmeldung!$G$20&amp;" / "&amp;Anmeldung!$J$20,"")</f>
        <v/>
      </c>
      <c r="HA7" t="str">
        <f>IF(AND(13&lt;&gt;37,Anmeldung!$D$20&lt;&gt;"",Anmeldung!$G$20=Anmeldung!$G$44,Anmeldung!$J$20=Anmeldung!$J$44),Anmeldung!$B$20&amp;": "&amp;Anmeldung!$D$20&amp;", "&amp;Anmeldung!$E$20&amp;" / "&amp;Anmeldung!$G$20&amp;" / "&amp;Anmeldung!$J$20,"")</f>
        <v/>
      </c>
      <c r="HB7" t="str">
        <f>IF(AND(13&lt;&gt;37,Anmeldung!$D$20&lt;&gt;"",Anmeldung!$G$20=Anmeldung!$G$44,Anmeldung!$J$20=Anmeldung!$J$44,(Anmeldung!$B$20&amp;": "&amp;Anmeldung!$D$20&amp;", "&amp;Anmeldung!$E$20&amp;" / "&amp;Anmeldung!$G$20&amp;" / "&amp;Anmeldung!$J$20)&lt;&gt;Anmeldung!$P$44),Anmeldung!$B$20&amp;": "&amp;Anmeldung!$D$20&amp;", "&amp;Anmeldung!$E$20&amp;" / "&amp;Anmeldung!$G$20&amp;" / "&amp;Anmeldung!$J$20,"")</f>
        <v/>
      </c>
      <c r="HC7" t="str">
        <f>IF(AND(13&lt;&gt;37,Anmeldung!$D$20&lt;&gt;"",Anmeldung!$G$20=Anmeldung!$G$44,Anmeldung!$J$20=Anmeldung!$J$44,(Anmeldung!$B$20&amp;": "&amp;Anmeldung!$D$20&amp;", "&amp;Anmeldung!$E$20&amp;" / "&amp;Anmeldung!$G$20&amp;" / "&amp;Anmeldung!$J$20)&lt;&gt;Anmeldung!$O$44),Anmeldung!$B$20&amp;": "&amp;Anmeldung!$D$20&amp;", "&amp;Anmeldung!$E$20&amp;" / "&amp;Anmeldung!$G$20&amp;" / "&amp;Anmeldung!$J$20,"")</f>
        <v/>
      </c>
      <c r="HD7" t="str">
        <f>IF(AND(13&lt;&gt;37,Anmeldung!$D$20&lt;&gt;"",Anmeldung!$G$20&lt;&gt;Anmeldung!$G$44,(Anmeldung!$B$20&amp;": "&amp;Anmeldung!$D$20&amp;", "&amp;Anmeldung!$E$20&amp;" / "&amp;Anmeldung!$G$20&amp;" / "&amp;Anmeldung!$J$20)&lt;&gt;Anmeldung!$S$44),Anmeldung!$B$20&amp;": "&amp;Anmeldung!$D$20&amp;", "&amp;Anmeldung!$E$20&amp;" / "&amp;Anmeldung!$G$20&amp;" / "&amp;Anmeldung!$J$20,"")</f>
        <v/>
      </c>
      <c r="HE7" t="str">
        <f>IF(AND(13&lt;&gt;37,Anmeldung!$D$20&lt;&gt;"",(Anmeldung!$B$20&amp;": "&amp;Anmeldung!$D$20&amp;", "&amp;Anmeldung!$E$20&amp;" / "&amp;Anmeldung!$G$20&amp;" / "&amp;Anmeldung!$J$20)&lt;&gt;Anmeldung!$R$44),Anmeldung!$B$20&amp;": "&amp;Anmeldung!$D$20&amp;", "&amp;Anmeldung!$E$20&amp;" / "&amp;Anmeldung!$G$20&amp;" / "&amp;Anmeldung!$J$20,"")</f>
        <v/>
      </c>
      <c r="HF7" t="str">
        <f>IF(AND(12&lt;&gt;36,Anmeldung!$D$20&lt;&gt;"",Anmeldung!$U$20="Ja",Anmeldung!$G$20=Anmeldung!$G$44,Anmeldung!$J$20=Anmeldung!$J$44),Anmeldung!$B$20&amp;": "&amp;Anmeldung!$D$20&amp;", "&amp;Anmeldung!$E$20&amp;" / "&amp;Anmeldung!$G$20&amp;" / "&amp;Anmeldung!$J$20,"")</f>
        <v/>
      </c>
      <c r="HI7" t="str">
        <f>IF(AND(13&lt;&gt;38,Anmeldung!$D$20&lt;&gt;"",Anmeldung!$G$20=Anmeldung!$G$45,Anmeldung!$J$20=Anmeldung!$J$45),Anmeldung!$B$20&amp;": "&amp;Anmeldung!$D$20&amp;", "&amp;Anmeldung!$E$20&amp;" / "&amp;Anmeldung!$G$20&amp;" / "&amp;Anmeldung!$J$20,"")</f>
        <v/>
      </c>
      <c r="HJ7" t="str">
        <f>IF(AND(13&lt;&gt;38,Anmeldung!$D$20&lt;&gt;"",Anmeldung!$G$20=Anmeldung!$G$45,Anmeldung!$J$20=Anmeldung!$J$45,(Anmeldung!$B$20&amp;": "&amp;Anmeldung!$D$20&amp;", "&amp;Anmeldung!$E$20&amp;" / "&amp;Anmeldung!$G$20&amp;" / "&amp;Anmeldung!$J$20)&lt;&gt;Anmeldung!$P$45),Anmeldung!$B$20&amp;": "&amp;Anmeldung!$D$20&amp;", "&amp;Anmeldung!$E$20&amp;" / "&amp;Anmeldung!$G$20&amp;" / "&amp;Anmeldung!$J$20,"")</f>
        <v/>
      </c>
      <c r="HK7" t="str">
        <f>IF(AND(13&lt;&gt;38,Anmeldung!$D$20&lt;&gt;"",Anmeldung!$G$20=Anmeldung!$G$45,Anmeldung!$J$20=Anmeldung!$J$45,(Anmeldung!$B$20&amp;": "&amp;Anmeldung!$D$20&amp;", "&amp;Anmeldung!$E$20&amp;" / "&amp;Anmeldung!$G$20&amp;" / "&amp;Anmeldung!$J$20)&lt;&gt;Anmeldung!$O$45),Anmeldung!$B$20&amp;": "&amp;Anmeldung!$D$20&amp;", "&amp;Anmeldung!$E$20&amp;" / "&amp;Anmeldung!$G$20&amp;" / "&amp;Anmeldung!$J$20,"")</f>
        <v/>
      </c>
      <c r="HL7" t="str">
        <f>IF(AND(13&lt;&gt;38,Anmeldung!$D$20&lt;&gt;"",Anmeldung!$G$20&lt;&gt;Anmeldung!$G$45,(Anmeldung!$B$20&amp;": "&amp;Anmeldung!$D$20&amp;", "&amp;Anmeldung!$E$20&amp;" / "&amp;Anmeldung!$G$20&amp;" / "&amp;Anmeldung!$J$20)&lt;&gt;Anmeldung!$S$45),Anmeldung!$B$20&amp;": "&amp;Anmeldung!$D$20&amp;", "&amp;Anmeldung!$E$20&amp;" / "&amp;Anmeldung!$G$20&amp;" / "&amp;Anmeldung!$J$20,"")</f>
        <v/>
      </c>
      <c r="HM7" t="str">
        <f>IF(AND(13&lt;&gt;38,Anmeldung!$D$20&lt;&gt;"",(Anmeldung!$B$20&amp;": "&amp;Anmeldung!$D$20&amp;", "&amp;Anmeldung!$E$20&amp;" / "&amp;Anmeldung!$G$20&amp;" / "&amp;Anmeldung!$J$20)&lt;&gt;Anmeldung!$R$45),Anmeldung!$B$20&amp;": "&amp;Anmeldung!$D$20&amp;", "&amp;Anmeldung!$E$20&amp;" / "&amp;Anmeldung!$G$20&amp;" / "&amp;Anmeldung!$J$20,"")</f>
        <v/>
      </c>
      <c r="HN7" t="str">
        <f>IF(AND(12&lt;&gt;37,Anmeldung!$D$20&lt;&gt;"",Anmeldung!$U$20="Ja",Anmeldung!$G$20=Anmeldung!$G$45,Anmeldung!$J$20=Anmeldung!$J$45),Anmeldung!$B$20&amp;": "&amp;Anmeldung!$D$20&amp;", "&amp;Anmeldung!$E$20&amp;" / "&amp;Anmeldung!$G$20&amp;" / "&amp;Anmeldung!$J$20,"")</f>
        <v/>
      </c>
      <c r="HQ7" t="str">
        <f>IF(AND(13&lt;&gt;39,Anmeldung!$D$20&lt;&gt;"",Anmeldung!$G$20=Anmeldung!$G$46,Anmeldung!$J$20=Anmeldung!$J$46),Anmeldung!$B$20&amp;": "&amp;Anmeldung!$D$20&amp;", "&amp;Anmeldung!$E$20&amp;" / "&amp;Anmeldung!$G$20&amp;" / "&amp;Anmeldung!$J$20,"")</f>
        <v/>
      </c>
      <c r="HR7" t="str">
        <f>IF(AND(13&lt;&gt;39,Anmeldung!$D$20&lt;&gt;"",Anmeldung!$G$20=Anmeldung!$G$46,Anmeldung!$J$20=Anmeldung!$J$46,(Anmeldung!$B$20&amp;": "&amp;Anmeldung!$D$20&amp;", "&amp;Anmeldung!$E$20&amp;" / "&amp;Anmeldung!$G$20&amp;" / "&amp;Anmeldung!$J$20)&lt;&gt;Anmeldung!$P$46),Anmeldung!$B$20&amp;": "&amp;Anmeldung!$D$20&amp;", "&amp;Anmeldung!$E$20&amp;" / "&amp;Anmeldung!$G$20&amp;" / "&amp;Anmeldung!$J$20,"")</f>
        <v/>
      </c>
      <c r="HS7" t="str">
        <f>IF(AND(13&lt;&gt;39,Anmeldung!$D$20&lt;&gt;"",Anmeldung!$G$20=Anmeldung!$G$46,Anmeldung!$J$20=Anmeldung!$J$46,(Anmeldung!$B$20&amp;": "&amp;Anmeldung!$D$20&amp;", "&amp;Anmeldung!$E$20&amp;" / "&amp;Anmeldung!$G$20&amp;" / "&amp;Anmeldung!$J$20)&lt;&gt;Anmeldung!$O$46),Anmeldung!$B$20&amp;": "&amp;Anmeldung!$D$20&amp;", "&amp;Anmeldung!$E$20&amp;" / "&amp;Anmeldung!$G$20&amp;" / "&amp;Anmeldung!$J$20,"")</f>
        <v/>
      </c>
      <c r="HT7" t="str">
        <f>IF(AND(13&lt;&gt;39,Anmeldung!$D$20&lt;&gt;"",Anmeldung!$G$20&lt;&gt;Anmeldung!$G$46,(Anmeldung!$B$20&amp;": "&amp;Anmeldung!$D$20&amp;", "&amp;Anmeldung!$E$20&amp;" / "&amp;Anmeldung!$G$20&amp;" / "&amp;Anmeldung!$J$20)&lt;&gt;Anmeldung!$S$46),Anmeldung!$B$20&amp;": "&amp;Anmeldung!$D$20&amp;", "&amp;Anmeldung!$E$20&amp;" / "&amp;Anmeldung!$G$20&amp;" / "&amp;Anmeldung!$J$20,"")</f>
        <v/>
      </c>
      <c r="HU7" t="str">
        <f>IF(AND(13&lt;&gt;39,Anmeldung!$D$20&lt;&gt;"",(Anmeldung!$B$20&amp;": "&amp;Anmeldung!$D$20&amp;", "&amp;Anmeldung!$E$20&amp;" / "&amp;Anmeldung!$G$20&amp;" / "&amp;Anmeldung!$J$20)&lt;&gt;Anmeldung!$R$46),Anmeldung!$B$20&amp;": "&amp;Anmeldung!$D$20&amp;", "&amp;Anmeldung!$E$20&amp;" / "&amp;Anmeldung!$G$20&amp;" / "&amp;Anmeldung!$J$20,"")</f>
        <v/>
      </c>
      <c r="HV7" t="str">
        <f>IF(AND(12&lt;&gt;38,Anmeldung!$D$20&lt;&gt;"",Anmeldung!$U$20="Ja",Anmeldung!$G$20=Anmeldung!$G$46,Anmeldung!$J$20=Anmeldung!$J$46),Anmeldung!$B$20&amp;": "&amp;Anmeldung!$D$20&amp;", "&amp;Anmeldung!$E$20&amp;" / "&amp;Anmeldung!$G$20&amp;" / "&amp;Anmeldung!$J$20,"")</f>
        <v/>
      </c>
      <c r="HY7" t="str">
        <f>IF(AND(13&lt;&gt;40,Anmeldung!$D$20&lt;&gt;"",Anmeldung!$G$20=Anmeldung!$G$47,Anmeldung!$J$20=Anmeldung!$J$47),Anmeldung!$B$20&amp;": "&amp;Anmeldung!$D$20&amp;", "&amp;Anmeldung!$E$20&amp;" / "&amp;Anmeldung!$G$20&amp;" / "&amp;Anmeldung!$J$20,"")</f>
        <v/>
      </c>
      <c r="HZ7" t="str">
        <f>IF(AND(13&lt;&gt;40,Anmeldung!$D$20&lt;&gt;"",Anmeldung!$G$20=Anmeldung!$G$47,Anmeldung!$J$20=Anmeldung!$J$47,(Anmeldung!$B$20&amp;": "&amp;Anmeldung!$D$20&amp;", "&amp;Anmeldung!$E$20&amp;" / "&amp;Anmeldung!$G$20&amp;" / "&amp;Anmeldung!$J$20)&lt;&gt;Anmeldung!$P$47),Anmeldung!$B$20&amp;": "&amp;Anmeldung!$D$20&amp;", "&amp;Anmeldung!$E$20&amp;" / "&amp;Anmeldung!$G$20&amp;" / "&amp;Anmeldung!$J$20,"")</f>
        <v/>
      </c>
      <c r="IA7" t="str">
        <f>IF(AND(13&lt;&gt;40,Anmeldung!$D$20&lt;&gt;"",Anmeldung!$G$20=Anmeldung!$G$47,Anmeldung!$J$20=Anmeldung!$J$47,(Anmeldung!$B$20&amp;": "&amp;Anmeldung!$D$20&amp;", "&amp;Anmeldung!$E$20&amp;" / "&amp;Anmeldung!$G$20&amp;" / "&amp;Anmeldung!$J$20)&lt;&gt;Anmeldung!$O$47),Anmeldung!$B$20&amp;": "&amp;Anmeldung!$D$20&amp;", "&amp;Anmeldung!$E$20&amp;" / "&amp;Anmeldung!$G$20&amp;" / "&amp;Anmeldung!$J$20,"")</f>
        <v/>
      </c>
      <c r="IB7" t="str">
        <f>IF(AND(13&lt;&gt;40,Anmeldung!$D$20&lt;&gt;"",Anmeldung!$G$20&lt;&gt;Anmeldung!$G$47,(Anmeldung!$B$20&amp;": "&amp;Anmeldung!$D$20&amp;", "&amp;Anmeldung!$E$20&amp;" / "&amp;Anmeldung!$G$20&amp;" / "&amp;Anmeldung!$J$20)&lt;&gt;Anmeldung!$S$47),Anmeldung!$B$20&amp;": "&amp;Anmeldung!$D$20&amp;", "&amp;Anmeldung!$E$20&amp;" / "&amp;Anmeldung!$G$20&amp;" / "&amp;Anmeldung!$J$20,"")</f>
        <v/>
      </c>
      <c r="IC7" t="str">
        <f>IF(AND(13&lt;&gt;40,Anmeldung!$D$20&lt;&gt;"",(Anmeldung!$B$20&amp;": "&amp;Anmeldung!$D$20&amp;", "&amp;Anmeldung!$E$20&amp;" / "&amp;Anmeldung!$G$20&amp;" / "&amp;Anmeldung!$J$20)&lt;&gt;Anmeldung!$R$47),Anmeldung!$B$20&amp;": "&amp;Anmeldung!$D$20&amp;", "&amp;Anmeldung!$E$20&amp;" / "&amp;Anmeldung!$G$20&amp;" / "&amp;Anmeldung!$J$20,"")</f>
        <v/>
      </c>
      <c r="ID7" t="str">
        <f>IF(AND(12&lt;&gt;39,Anmeldung!$D$20&lt;&gt;"",Anmeldung!$U$20="Ja",Anmeldung!$G$20=Anmeldung!$G$47,Anmeldung!$J$20=Anmeldung!$J$47),Anmeldung!$B$20&amp;": "&amp;Anmeldung!$D$20&amp;", "&amp;Anmeldung!$E$20&amp;" / "&amp;Anmeldung!$G$20&amp;" / "&amp;Anmeldung!$J$20,"")</f>
        <v/>
      </c>
    </row>
    <row r="8" spans="1:238" ht="14.25" customHeight="1" x14ac:dyDescent="0.3">
      <c r="A8" t="str">
        <f>IF(AND(14&lt;&gt;11,Anmeldung!$D$21&lt;&gt;"",Anmeldung!$G$21=Anmeldung!$G$18,Anmeldung!$J$21=Anmeldung!$J$18),Anmeldung!$B$21&amp;": "&amp;Anmeldung!$D$21&amp;", "&amp;Anmeldung!$E$21&amp;" / "&amp;Anmeldung!$G$21&amp;" / "&amp;Anmeldung!$J$21,"")</f>
        <v/>
      </c>
      <c r="B8" t="str">
        <f>IF(AND(14&lt;&gt;11,Anmeldung!$D$21&lt;&gt;"",Anmeldung!$G$21=Anmeldung!$G$18,Anmeldung!$J$21=Anmeldung!$J$18,(Anmeldung!$B$21&amp;": "&amp;Anmeldung!$D$21&amp;", "&amp;Anmeldung!$E$21&amp;" / "&amp;Anmeldung!$G$21&amp;" / "&amp;Anmeldung!$J$21)&lt;&gt;Anmeldung!$P$18),Anmeldung!$B$21&amp;": "&amp;Anmeldung!$D$21&amp;", "&amp;Anmeldung!$E$21&amp;" / "&amp;Anmeldung!$G$21&amp;" / "&amp;Anmeldung!$J$21,"")</f>
        <v/>
      </c>
      <c r="C8" t="str">
        <f>IF(AND(14&lt;&gt;11,Anmeldung!$D$21&lt;&gt;"",Anmeldung!$G$21=Anmeldung!$G$18,Anmeldung!$J$21=Anmeldung!$J$18,(Anmeldung!$B$21&amp;": "&amp;Anmeldung!$D$21&amp;", "&amp;Anmeldung!$E$21&amp;" / "&amp;Anmeldung!$G$21&amp;" / "&amp;Anmeldung!$J$21)&lt;&gt;Anmeldung!$O$18),Anmeldung!$B$21&amp;": "&amp;Anmeldung!$D$21&amp;", "&amp;Anmeldung!$E$21&amp;" / "&amp;Anmeldung!$G$21&amp;" / "&amp;Anmeldung!$J$21,"")</f>
        <v/>
      </c>
      <c r="D8" t="str">
        <f>IF(AND(14&lt;&gt;11,Anmeldung!$D$21&lt;&gt;"",Anmeldung!$G$21&lt;&gt;Anmeldung!$G$18,(Anmeldung!$B$21&amp;": "&amp;Anmeldung!$D$21&amp;", "&amp;Anmeldung!$E$21&amp;" / "&amp;Anmeldung!$G$21&amp;" / "&amp;Anmeldung!$J$21)&lt;&gt;Anmeldung!$S$18),Anmeldung!$B$21&amp;": "&amp;Anmeldung!$D$21&amp;", "&amp;Anmeldung!$E$21&amp;" / "&amp;Anmeldung!$G$21&amp;" / "&amp;Anmeldung!$J$21,"")</f>
        <v/>
      </c>
      <c r="E8" t="str">
        <f>IF(AND(14&lt;&gt;11,Anmeldung!$D$21&lt;&gt;"",(Anmeldung!$B$21&amp;": "&amp;Anmeldung!$D$21&amp;", "&amp;Anmeldung!$E$21&amp;" / "&amp;Anmeldung!$G$21&amp;" / "&amp;Anmeldung!$J$21)&lt;&gt;Anmeldung!$R$18),Anmeldung!$B$21&amp;": "&amp;Anmeldung!$D$21&amp;", "&amp;Anmeldung!$E$21&amp;" / "&amp;Anmeldung!$G$21&amp;" / "&amp;Anmeldung!$J$21,"")</f>
        <v/>
      </c>
      <c r="F8" t="str">
        <f>IF(AND(13&lt;&gt;10,Anmeldung!$D$21&lt;&gt;"",Anmeldung!$U$21="Ja",Anmeldung!$G$21=Anmeldung!$G$18,Anmeldung!$J$21=Anmeldung!$J$18),Anmeldung!$B$21&amp;": "&amp;Anmeldung!$D$21&amp;", "&amp;Anmeldung!$E$21&amp;" / "&amp;Anmeldung!$G$21&amp;" / "&amp;Anmeldung!$J$21,"")</f>
        <v/>
      </c>
      <c r="I8" t="str">
        <f>IF(AND(14&lt;&gt;12,Anmeldung!$D$21&lt;&gt;"",Anmeldung!$G$21=Anmeldung!$G$19,Anmeldung!$J$21=Anmeldung!$J$19),Anmeldung!$B$21&amp;": "&amp;Anmeldung!$D$21&amp;", "&amp;Anmeldung!$E$21&amp;" / "&amp;Anmeldung!$G$21&amp;" / "&amp;Anmeldung!$J$21,"")</f>
        <v/>
      </c>
      <c r="J8" t="str">
        <f>IF(AND(14&lt;&gt;12,Anmeldung!$D$21&lt;&gt;"",Anmeldung!$G$21=Anmeldung!$G$19,Anmeldung!$J$21=Anmeldung!$J$19,(Anmeldung!$B$21&amp;": "&amp;Anmeldung!$D$21&amp;", "&amp;Anmeldung!$E$21&amp;" / "&amp;Anmeldung!$G$21&amp;" / "&amp;Anmeldung!$J$21)&lt;&gt;Anmeldung!$P$19),Anmeldung!$B$21&amp;": "&amp;Anmeldung!$D$21&amp;", "&amp;Anmeldung!$E$21&amp;" / "&amp;Anmeldung!$G$21&amp;" / "&amp;Anmeldung!$J$21,"")</f>
        <v/>
      </c>
      <c r="K8" t="str">
        <f>IF(AND(14&lt;&gt;12,Anmeldung!$D$21&lt;&gt;"",Anmeldung!$G$21=Anmeldung!$G$19,Anmeldung!$J$21=Anmeldung!$J$19,(Anmeldung!$B$21&amp;": "&amp;Anmeldung!$D$21&amp;", "&amp;Anmeldung!$E$21&amp;" / "&amp;Anmeldung!$G$21&amp;" / "&amp;Anmeldung!$J$21)&lt;&gt;Anmeldung!$O$19),Anmeldung!$B$21&amp;": "&amp;Anmeldung!$D$21&amp;", "&amp;Anmeldung!$E$21&amp;" / "&amp;Anmeldung!$G$21&amp;" / "&amp;Anmeldung!$J$21,"")</f>
        <v/>
      </c>
      <c r="L8" t="str">
        <f>IF(AND(14&lt;&gt;12,Anmeldung!$D$21&lt;&gt;"",Anmeldung!$G$21&lt;&gt;Anmeldung!$G$19,(Anmeldung!$B$21&amp;": "&amp;Anmeldung!$D$21&amp;", "&amp;Anmeldung!$E$21&amp;" / "&amp;Anmeldung!$G$21&amp;" / "&amp;Anmeldung!$J$21)&lt;&gt;Anmeldung!$S$19),Anmeldung!$B$21&amp;": "&amp;Anmeldung!$D$21&amp;", "&amp;Anmeldung!$E$21&amp;" / "&amp;Anmeldung!$G$21&amp;" / "&amp;Anmeldung!$J$21,"")</f>
        <v/>
      </c>
      <c r="M8" t="str">
        <f>IF(AND(14&lt;&gt;12,Anmeldung!$D$21&lt;&gt;"",(Anmeldung!$B$21&amp;": "&amp;Anmeldung!$D$21&amp;", "&amp;Anmeldung!$E$21&amp;" / "&amp;Anmeldung!$G$21&amp;" / "&amp;Anmeldung!$J$21)&lt;&gt;Anmeldung!$R$19),Anmeldung!$B$21&amp;": "&amp;Anmeldung!$D$21&amp;", "&amp;Anmeldung!$E$21&amp;" / "&amp;Anmeldung!$G$21&amp;" / "&amp;Anmeldung!$J$21,"")</f>
        <v/>
      </c>
      <c r="N8" t="str">
        <f>IF(AND(13&lt;&gt;11,Anmeldung!$D$21&lt;&gt;"",Anmeldung!$U$21="Ja",Anmeldung!$G$21=Anmeldung!$G$19,Anmeldung!$J$21=Anmeldung!$J$19),Anmeldung!$B$21&amp;": "&amp;Anmeldung!$D$21&amp;", "&amp;Anmeldung!$E$21&amp;" / "&amp;Anmeldung!$G$21&amp;" / "&amp;Anmeldung!$J$21,"")</f>
        <v/>
      </c>
      <c r="Q8" t="str">
        <f>IF(AND(14&lt;&gt;13,Anmeldung!$D$21&lt;&gt;"",Anmeldung!$G$21=Anmeldung!$G$20,Anmeldung!$J$21=Anmeldung!$J$20),Anmeldung!$B$21&amp;": "&amp;Anmeldung!$D$21&amp;", "&amp;Anmeldung!$E$21&amp;" / "&amp;Anmeldung!$G$21&amp;" / "&amp;Anmeldung!$J$21,"")</f>
        <v/>
      </c>
      <c r="R8" t="str">
        <f>IF(AND(14&lt;&gt;13,Anmeldung!$D$21&lt;&gt;"",Anmeldung!$G$21=Anmeldung!$G$20,Anmeldung!$J$21=Anmeldung!$J$20,(Anmeldung!$B$21&amp;": "&amp;Anmeldung!$D$21&amp;", "&amp;Anmeldung!$E$21&amp;" / "&amp;Anmeldung!$G$21&amp;" / "&amp;Anmeldung!$J$21)&lt;&gt;Anmeldung!$P$20),Anmeldung!$B$21&amp;": "&amp;Anmeldung!$D$21&amp;", "&amp;Anmeldung!$E$21&amp;" / "&amp;Anmeldung!$G$21&amp;" / "&amp;Anmeldung!$J$21,"")</f>
        <v/>
      </c>
      <c r="S8" t="str">
        <f>IF(AND(14&lt;&gt;13,Anmeldung!$D$21&lt;&gt;"",Anmeldung!$G$21=Anmeldung!$G$20,Anmeldung!$J$21=Anmeldung!$J$20,(Anmeldung!$B$21&amp;": "&amp;Anmeldung!$D$21&amp;", "&amp;Anmeldung!$E$21&amp;" / "&amp;Anmeldung!$G$21&amp;" / "&amp;Anmeldung!$J$21)&lt;&gt;Anmeldung!$O$20),Anmeldung!$B$21&amp;": "&amp;Anmeldung!$D$21&amp;", "&amp;Anmeldung!$E$21&amp;" / "&amp;Anmeldung!$G$21&amp;" / "&amp;Anmeldung!$J$21,"")</f>
        <v/>
      </c>
      <c r="T8" t="str">
        <f>IF(AND(14&lt;&gt;13,Anmeldung!$D$21&lt;&gt;"",Anmeldung!$G$21&lt;&gt;Anmeldung!$G$20,(Anmeldung!$B$21&amp;": "&amp;Anmeldung!$D$21&amp;", "&amp;Anmeldung!$E$21&amp;" / "&amp;Anmeldung!$G$21&amp;" / "&amp;Anmeldung!$J$21)&lt;&gt;Anmeldung!$S$20),Anmeldung!$B$21&amp;": "&amp;Anmeldung!$D$21&amp;", "&amp;Anmeldung!$E$21&amp;" / "&amp;Anmeldung!$G$21&amp;" / "&amp;Anmeldung!$J$21,"")</f>
        <v/>
      </c>
      <c r="U8" t="str">
        <f>IF(AND(14&lt;&gt;13,Anmeldung!$D$21&lt;&gt;"",(Anmeldung!$B$21&amp;": "&amp;Anmeldung!$D$21&amp;", "&amp;Anmeldung!$E$21&amp;" / "&amp;Anmeldung!$G$21&amp;" / "&amp;Anmeldung!$J$21)&lt;&gt;Anmeldung!$R$20),Anmeldung!$B$21&amp;": "&amp;Anmeldung!$D$21&amp;", "&amp;Anmeldung!$E$21&amp;" / "&amp;Anmeldung!$G$21&amp;" / "&amp;Anmeldung!$J$21,"")</f>
        <v/>
      </c>
      <c r="V8" t="str">
        <f>IF(AND(13&lt;&gt;12,Anmeldung!$D$21&lt;&gt;"",Anmeldung!$U$21="Ja",Anmeldung!$G$21=Anmeldung!$G$20,Anmeldung!$J$21=Anmeldung!$J$20),Anmeldung!$B$21&amp;": "&amp;Anmeldung!$D$21&amp;", "&amp;Anmeldung!$E$21&amp;" / "&amp;Anmeldung!$G$21&amp;" / "&amp;Anmeldung!$J$21,"")</f>
        <v/>
      </c>
      <c r="Y8" t="str">
        <f>IF(AND(14&lt;&gt;14,Anmeldung!$D$21&lt;&gt;"",Anmeldung!$G$21=Anmeldung!$G$21,Anmeldung!$J$21=Anmeldung!$J$21),Anmeldung!$B$21&amp;": "&amp;Anmeldung!$D$21&amp;", "&amp;Anmeldung!$E$21&amp;" / "&amp;Anmeldung!$G$21&amp;" / "&amp;Anmeldung!$J$21,"")</f>
        <v/>
      </c>
      <c r="Z8" t="str">
        <f>IF(AND(14&lt;&gt;14,Anmeldung!$D$21&lt;&gt;"",Anmeldung!$G$21=Anmeldung!$G$21,Anmeldung!$J$21=Anmeldung!$J$21,(Anmeldung!$B$21&amp;": "&amp;Anmeldung!$D$21&amp;", "&amp;Anmeldung!$E$21&amp;" / "&amp;Anmeldung!$G$21&amp;" / "&amp;Anmeldung!$J$21)&lt;&gt;Anmeldung!$P$21),Anmeldung!$B$21&amp;": "&amp;Anmeldung!$D$21&amp;", "&amp;Anmeldung!$E$21&amp;" / "&amp;Anmeldung!$G$21&amp;" / "&amp;Anmeldung!$J$21,"")</f>
        <v/>
      </c>
      <c r="AA8" t="str">
        <f>IF(AND(14&lt;&gt;14,Anmeldung!$D$21&lt;&gt;"",Anmeldung!$G$21=Anmeldung!$G$21,Anmeldung!$J$21=Anmeldung!$J$21,(Anmeldung!$B$21&amp;": "&amp;Anmeldung!$D$21&amp;", "&amp;Anmeldung!$E$21&amp;" / "&amp;Anmeldung!$G$21&amp;" / "&amp;Anmeldung!$J$21)&lt;&gt;Anmeldung!$O$21),Anmeldung!$B$21&amp;": "&amp;Anmeldung!$D$21&amp;", "&amp;Anmeldung!$E$21&amp;" / "&amp;Anmeldung!$G$21&amp;" / "&amp;Anmeldung!$J$21,"")</f>
        <v/>
      </c>
      <c r="AB8" t="str">
        <f>IF(AND(14&lt;&gt;14,Anmeldung!$D$21&lt;&gt;"",Anmeldung!$G$21&lt;&gt;Anmeldung!$G$21,(Anmeldung!$B$21&amp;": "&amp;Anmeldung!$D$21&amp;", "&amp;Anmeldung!$E$21&amp;" / "&amp;Anmeldung!$G$21&amp;" / "&amp;Anmeldung!$J$21)&lt;&gt;Anmeldung!$S$21),Anmeldung!$B$21&amp;": "&amp;Anmeldung!$D$21&amp;", "&amp;Anmeldung!$E$21&amp;" / "&amp;Anmeldung!$G$21&amp;" / "&amp;Anmeldung!$J$21,"")</f>
        <v/>
      </c>
      <c r="AC8" t="str">
        <f>IF(AND(14&lt;&gt;14,Anmeldung!$D$21&lt;&gt;"",(Anmeldung!$B$21&amp;": "&amp;Anmeldung!$D$21&amp;", "&amp;Anmeldung!$E$21&amp;" / "&amp;Anmeldung!$G$21&amp;" / "&amp;Anmeldung!$J$21)&lt;&gt;Anmeldung!$R$21),Anmeldung!$B$21&amp;": "&amp;Anmeldung!$D$21&amp;", "&amp;Anmeldung!$E$21&amp;" / "&amp;Anmeldung!$G$21&amp;" / "&amp;Anmeldung!$J$21,"")</f>
        <v/>
      </c>
      <c r="AD8" t="str">
        <f>IF(AND(13&lt;&gt;13,Anmeldung!$D$21&lt;&gt;"",Anmeldung!$U$21="Ja",Anmeldung!$G$21=Anmeldung!$G$21,Anmeldung!$J$21=Anmeldung!$J$21),Anmeldung!$B$21&amp;": "&amp;Anmeldung!$D$21&amp;", "&amp;Anmeldung!$E$21&amp;" / "&amp;Anmeldung!$G$21&amp;" / "&amp;Anmeldung!$J$21,"")</f>
        <v/>
      </c>
      <c r="AG8" t="str">
        <f>IF(AND(14&lt;&gt;15,Anmeldung!$D$21&lt;&gt;"",Anmeldung!$G$21=Anmeldung!$G$22,Anmeldung!$J$21=Anmeldung!$J$22),Anmeldung!$B$21&amp;": "&amp;Anmeldung!$D$21&amp;", "&amp;Anmeldung!$E$21&amp;" / "&amp;Anmeldung!$G$21&amp;" / "&amp;Anmeldung!$J$21,"")</f>
        <v/>
      </c>
      <c r="AH8" t="str">
        <f>IF(AND(14&lt;&gt;15,Anmeldung!$D$21&lt;&gt;"",Anmeldung!$G$21=Anmeldung!$G$22,Anmeldung!$J$21=Anmeldung!$J$22,(Anmeldung!$B$21&amp;": "&amp;Anmeldung!$D$21&amp;", "&amp;Anmeldung!$E$21&amp;" / "&amp;Anmeldung!$G$21&amp;" / "&amp;Anmeldung!$J$21)&lt;&gt;Anmeldung!$P$22),Anmeldung!$B$21&amp;": "&amp;Anmeldung!$D$21&amp;", "&amp;Anmeldung!$E$21&amp;" / "&amp;Anmeldung!$G$21&amp;" / "&amp;Anmeldung!$J$21,"")</f>
        <v/>
      </c>
      <c r="AI8" t="str">
        <f>IF(AND(14&lt;&gt;15,Anmeldung!$D$21&lt;&gt;"",Anmeldung!$G$21=Anmeldung!$G$22,Anmeldung!$J$21=Anmeldung!$J$22,(Anmeldung!$B$21&amp;": "&amp;Anmeldung!$D$21&amp;", "&amp;Anmeldung!$E$21&amp;" / "&amp;Anmeldung!$G$21&amp;" / "&amp;Anmeldung!$J$21)&lt;&gt;Anmeldung!$O$22),Anmeldung!$B$21&amp;": "&amp;Anmeldung!$D$21&amp;", "&amp;Anmeldung!$E$21&amp;" / "&amp;Anmeldung!$G$21&amp;" / "&amp;Anmeldung!$J$21,"")</f>
        <v/>
      </c>
      <c r="AJ8" t="str">
        <f>IF(AND(14&lt;&gt;15,Anmeldung!$D$21&lt;&gt;"",Anmeldung!$G$21&lt;&gt;Anmeldung!$G$22,(Anmeldung!$B$21&amp;": "&amp;Anmeldung!$D$21&amp;", "&amp;Anmeldung!$E$21&amp;" / "&amp;Anmeldung!$G$21&amp;" / "&amp;Anmeldung!$J$21)&lt;&gt;Anmeldung!$S$22),Anmeldung!$B$21&amp;": "&amp;Anmeldung!$D$21&amp;", "&amp;Anmeldung!$E$21&amp;" / "&amp;Anmeldung!$G$21&amp;" / "&amp;Anmeldung!$J$21,"")</f>
        <v/>
      </c>
      <c r="AK8" t="str">
        <f>IF(AND(14&lt;&gt;15,Anmeldung!$D$21&lt;&gt;"",(Anmeldung!$B$21&amp;": "&amp;Anmeldung!$D$21&amp;", "&amp;Anmeldung!$E$21&amp;" / "&amp;Anmeldung!$G$21&amp;" / "&amp;Anmeldung!$J$21)&lt;&gt;Anmeldung!$R$22),Anmeldung!$B$21&amp;": "&amp;Anmeldung!$D$21&amp;", "&amp;Anmeldung!$E$21&amp;" / "&amp;Anmeldung!$G$21&amp;" / "&amp;Anmeldung!$J$21,"")</f>
        <v/>
      </c>
      <c r="AL8" t="str">
        <f>IF(AND(13&lt;&gt;14,Anmeldung!$D$21&lt;&gt;"",Anmeldung!$U$21="Ja",Anmeldung!$G$21=Anmeldung!$G$22,Anmeldung!$J$21=Anmeldung!$J$22),Anmeldung!$B$21&amp;": "&amp;Anmeldung!$D$21&amp;", "&amp;Anmeldung!$E$21&amp;" / "&amp;Anmeldung!$G$21&amp;" / "&amp;Anmeldung!$J$21,"")</f>
        <v/>
      </c>
      <c r="AO8" t="str">
        <f>IF(AND(14&lt;&gt;16,Anmeldung!$D$21&lt;&gt;"",Anmeldung!$G$21=Anmeldung!$G$23,Anmeldung!$J$21=Anmeldung!$J$23),Anmeldung!$B$21&amp;": "&amp;Anmeldung!$D$21&amp;", "&amp;Anmeldung!$E$21&amp;" / "&amp;Anmeldung!$G$21&amp;" / "&amp;Anmeldung!$J$21,"")</f>
        <v/>
      </c>
      <c r="AP8" t="str">
        <f>IF(AND(14&lt;&gt;16,Anmeldung!$D$21&lt;&gt;"",Anmeldung!$G$21=Anmeldung!$G$23,Anmeldung!$J$21=Anmeldung!$J$23,(Anmeldung!$B$21&amp;": "&amp;Anmeldung!$D$21&amp;", "&amp;Anmeldung!$E$21&amp;" / "&amp;Anmeldung!$G$21&amp;" / "&amp;Anmeldung!$J$21)&lt;&gt;Anmeldung!$P$23),Anmeldung!$B$21&amp;": "&amp;Anmeldung!$D$21&amp;", "&amp;Anmeldung!$E$21&amp;" / "&amp;Anmeldung!$G$21&amp;" / "&amp;Anmeldung!$J$21,"")</f>
        <v/>
      </c>
      <c r="AQ8" t="str">
        <f>IF(AND(14&lt;&gt;16,Anmeldung!$D$21&lt;&gt;"",Anmeldung!$G$21=Anmeldung!$G$23,Anmeldung!$J$21=Anmeldung!$J$23,(Anmeldung!$B$21&amp;": "&amp;Anmeldung!$D$21&amp;", "&amp;Anmeldung!$E$21&amp;" / "&amp;Anmeldung!$G$21&amp;" / "&amp;Anmeldung!$J$21)&lt;&gt;Anmeldung!$O$23),Anmeldung!$B$21&amp;": "&amp;Anmeldung!$D$21&amp;", "&amp;Anmeldung!$E$21&amp;" / "&amp;Anmeldung!$G$21&amp;" / "&amp;Anmeldung!$J$21,"")</f>
        <v/>
      </c>
      <c r="AR8" t="str">
        <f>IF(AND(14&lt;&gt;16,Anmeldung!$D$21&lt;&gt;"",Anmeldung!$G$21&lt;&gt;Anmeldung!$G$23,(Anmeldung!$B$21&amp;": "&amp;Anmeldung!$D$21&amp;", "&amp;Anmeldung!$E$21&amp;" / "&amp;Anmeldung!$G$21&amp;" / "&amp;Anmeldung!$J$21)&lt;&gt;Anmeldung!$S$23),Anmeldung!$B$21&amp;": "&amp;Anmeldung!$D$21&amp;", "&amp;Anmeldung!$E$21&amp;" / "&amp;Anmeldung!$G$21&amp;" / "&amp;Anmeldung!$J$21,"")</f>
        <v/>
      </c>
      <c r="AS8" t="str">
        <f>IF(AND(14&lt;&gt;16,Anmeldung!$D$21&lt;&gt;"",(Anmeldung!$B$21&amp;": "&amp;Anmeldung!$D$21&amp;", "&amp;Anmeldung!$E$21&amp;" / "&amp;Anmeldung!$G$21&amp;" / "&amp;Anmeldung!$J$21)&lt;&gt;Anmeldung!$R$23),Anmeldung!$B$21&amp;": "&amp;Anmeldung!$D$21&amp;", "&amp;Anmeldung!$E$21&amp;" / "&amp;Anmeldung!$G$21&amp;" / "&amp;Anmeldung!$J$21,"")</f>
        <v/>
      </c>
      <c r="AT8" t="str">
        <f>IF(AND(13&lt;&gt;15,Anmeldung!$D$21&lt;&gt;"",Anmeldung!$U$21="Ja",Anmeldung!$G$21=Anmeldung!$G$23,Anmeldung!$J$21=Anmeldung!$J$23),Anmeldung!$B$21&amp;": "&amp;Anmeldung!$D$21&amp;", "&amp;Anmeldung!$E$21&amp;" / "&amp;Anmeldung!$G$21&amp;" / "&amp;Anmeldung!$J$21,"")</f>
        <v/>
      </c>
      <c r="AW8" t="str">
        <f>IF(AND(14&lt;&gt;17,Anmeldung!$D$21&lt;&gt;"",Anmeldung!$G$21=Anmeldung!$G$24,Anmeldung!$J$21=Anmeldung!$J$24),Anmeldung!$B$21&amp;": "&amp;Anmeldung!$D$21&amp;", "&amp;Anmeldung!$E$21&amp;" / "&amp;Anmeldung!$G$21&amp;" / "&amp;Anmeldung!$J$21,"")</f>
        <v/>
      </c>
      <c r="AX8" t="str">
        <f>IF(AND(14&lt;&gt;17,Anmeldung!$D$21&lt;&gt;"",Anmeldung!$G$21=Anmeldung!$G$24,Anmeldung!$J$21=Anmeldung!$J$24,(Anmeldung!$B$21&amp;": "&amp;Anmeldung!$D$21&amp;", "&amp;Anmeldung!$E$21&amp;" / "&amp;Anmeldung!$G$21&amp;" / "&amp;Anmeldung!$J$21)&lt;&gt;Anmeldung!$P$24),Anmeldung!$B$21&amp;": "&amp;Anmeldung!$D$21&amp;", "&amp;Anmeldung!$E$21&amp;" / "&amp;Anmeldung!$G$21&amp;" / "&amp;Anmeldung!$J$21,"")</f>
        <v/>
      </c>
      <c r="AY8" t="str">
        <f>IF(AND(14&lt;&gt;17,Anmeldung!$D$21&lt;&gt;"",Anmeldung!$G$21=Anmeldung!$G$24,Anmeldung!$J$21=Anmeldung!$J$24,(Anmeldung!$B$21&amp;": "&amp;Anmeldung!$D$21&amp;", "&amp;Anmeldung!$E$21&amp;" / "&amp;Anmeldung!$G$21&amp;" / "&amp;Anmeldung!$J$21)&lt;&gt;Anmeldung!$O$24),Anmeldung!$B$21&amp;": "&amp;Anmeldung!$D$21&amp;", "&amp;Anmeldung!$E$21&amp;" / "&amp;Anmeldung!$G$21&amp;" / "&amp;Anmeldung!$J$21,"")</f>
        <v/>
      </c>
      <c r="AZ8" t="str">
        <f>IF(AND(14&lt;&gt;17,Anmeldung!$D$21&lt;&gt;"",Anmeldung!$G$21&lt;&gt;Anmeldung!$G$24,(Anmeldung!$B$21&amp;": "&amp;Anmeldung!$D$21&amp;", "&amp;Anmeldung!$E$21&amp;" / "&amp;Anmeldung!$G$21&amp;" / "&amp;Anmeldung!$J$21)&lt;&gt;Anmeldung!$S$24),Anmeldung!$B$21&amp;": "&amp;Anmeldung!$D$21&amp;", "&amp;Anmeldung!$E$21&amp;" / "&amp;Anmeldung!$G$21&amp;" / "&amp;Anmeldung!$J$21,"")</f>
        <v/>
      </c>
      <c r="BA8" t="str">
        <f>IF(AND(14&lt;&gt;17,Anmeldung!$D$21&lt;&gt;"",(Anmeldung!$B$21&amp;": "&amp;Anmeldung!$D$21&amp;", "&amp;Anmeldung!$E$21&amp;" / "&amp;Anmeldung!$G$21&amp;" / "&amp;Anmeldung!$J$21)&lt;&gt;Anmeldung!$R$24),Anmeldung!$B$21&amp;": "&amp;Anmeldung!$D$21&amp;", "&amp;Anmeldung!$E$21&amp;" / "&amp;Anmeldung!$G$21&amp;" / "&amp;Anmeldung!$J$21,"")</f>
        <v/>
      </c>
      <c r="BB8" t="str">
        <f>IF(AND(13&lt;&gt;16,Anmeldung!$D$21&lt;&gt;"",Anmeldung!$U$21="Ja",Anmeldung!$G$21=Anmeldung!$G$24,Anmeldung!$J$21=Anmeldung!$J$24),Anmeldung!$B$21&amp;": "&amp;Anmeldung!$D$21&amp;", "&amp;Anmeldung!$E$21&amp;" / "&amp;Anmeldung!$G$21&amp;" / "&amp;Anmeldung!$J$21,"")</f>
        <v/>
      </c>
      <c r="BE8" t="str">
        <f>IF(AND(14&lt;&gt;18,Anmeldung!$D$21&lt;&gt;"",Anmeldung!$G$21=Anmeldung!$G$25,Anmeldung!$J$21=Anmeldung!$J$25),Anmeldung!$B$21&amp;": "&amp;Anmeldung!$D$21&amp;", "&amp;Anmeldung!$E$21&amp;" / "&amp;Anmeldung!$G$21&amp;" / "&amp;Anmeldung!$J$21,"")</f>
        <v/>
      </c>
      <c r="BF8" t="str">
        <f>IF(AND(14&lt;&gt;18,Anmeldung!$D$21&lt;&gt;"",Anmeldung!$G$21=Anmeldung!$G$25,Anmeldung!$J$21=Anmeldung!$J$25,(Anmeldung!$B$21&amp;": "&amp;Anmeldung!$D$21&amp;", "&amp;Anmeldung!$E$21&amp;" / "&amp;Anmeldung!$G$21&amp;" / "&amp;Anmeldung!$J$21)&lt;&gt;Anmeldung!$P$25),Anmeldung!$B$21&amp;": "&amp;Anmeldung!$D$21&amp;", "&amp;Anmeldung!$E$21&amp;" / "&amp;Anmeldung!$G$21&amp;" / "&amp;Anmeldung!$J$21,"")</f>
        <v/>
      </c>
      <c r="BG8" t="str">
        <f>IF(AND(14&lt;&gt;18,Anmeldung!$D$21&lt;&gt;"",Anmeldung!$G$21=Anmeldung!$G$25,Anmeldung!$J$21=Anmeldung!$J$25,(Anmeldung!$B$21&amp;": "&amp;Anmeldung!$D$21&amp;", "&amp;Anmeldung!$E$21&amp;" / "&amp;Anmeldung!$G$21&amp;" / "&amp;Anmeldung!$J$21)&lt;&gt;Anmeldung!$O$25),Anmeldung!$B$21&amp;": "&amp;Anmeldung!$D$21&amp;", "&amp;Anmeldung!$E$21&amp;" / "&amp;Anmeldung!$G$21&amp;" / "&amp;Anmeldung!$J$21,"")</f>
        <v/>
      </c>
      <c r="BH8" t="str">
        <f>IF(AND(14&lt;&gt;18,Anmeldung!$D$21&lt;&gt;"",Anmeldung!$G$21&lt;&gt;Anmeldung!$G$25,(Anmeldung!$B$21&amp;": "&amp;Anmeldung!$D$21&amp;", "&amp;Anmeldung!$E$21&amp;" / "&amp;Anmeldung!$G$21&amp;" / "&amp;Anmeldung!$J$21)&lt;&gt;Anmeldung!$S$25),Anmeldung!$B$21&amp;": "&amp;Anmeldung!$D$21&amp;", "&amp;Anmeldung!$E$21&amp;" / "&amp;Anmeldung!$G$21&amp;" / "&amp;Anmeldung!$J$21,"")</f>
        <v/>
      </c>
      <c r="BI8" t="str">
        <f>IF(AND(14&lt;&gt;18,Anmeldung!$D$21&lt;&gt;"",(Anmeldung!$B$21&amp;": "&amp;Anmeldung!$D$21&amp;", "&amp;Anmeldung!$E$21&amp;" / "&amp;Anmeldung!$G$21&amp;" / "&amp;Anmeldung!$J$21)&lt;&gt;Anmeldung!$R$25),Anmeldung!$B$21&amp;": "&amp;Anmeldung!$D$21&amp;", "&amp;Anmeldung!$E$21&amp;" / "&amp;Anmeldung!$G$21&amp;" / "&amp;Anmeldung!$J$21,"")</f>
        <v/>
      </c>
      <c r="BJ8" t="str">
        <f>IF(AND(13&lt;&gt;17,Anmeldung!$D$21&lt;&gt;"",Anmeldung!$U$21="Ja",Anmeldung!$G$21=Anmeldung!$G$25,Anmeldung!$J$21=Anmeldung!$J$25),Anmeldung!$B$21&amp;": "&amp;Anmeldung!$D$21&amp;", "&amp;Anmeldung!$E$21&amp;" / "&amp;Anmeldung!$G$21&amp;" / "&amp;Anmeldung!$J$21,"")</f>
        <v/>
      </c>
      <c r="BM8" t="str">
        <f>IF(AND(14&lt;&gt;19,Anmeldung!$D$21&lt;&gt;"",Anmeldung!$G$21=Anmeldung!$G$26,Anmeldung!$J$21=Anmeldung!$J$26),Anmeldung!$B$21&amp;": "&amp;Anmeldung!$D$21&amp;", "&amp;Anmeldung!$E$21&amp;" / "&amp;Anmeldung!$G$21&amp;" / "&amp;Anmeldung!$J$21,"")</f>
        <v/>
      </c>
      <c r="BN8" t="str">
        <f>IF(AND(14&lt;&gt;19,Anmeldung!$D$21&lt;&gt;"",Anmeldung!$G$21=Anmeldung!$G$26,Anmeldung!$J$21=Anmeldung!$J$26,(Anmeldung!$B$21&amp;": "&amp;Anmeldung!$D$21&amp;", "&amp;Anmeldung!$E$21&amp;" / "&amp;Anmeldung!$G$21&amp;" / "&amp;Anmeldung!$J$21)&lt;&gt;Anmeldung!$P$26),Anmeldung!$B$21&amp;": "&amp;Anmeldung!$D$21&amp;", "&amp;Anmeldung!$E$21&amp;" / "&amp;Anmeldung!$G$21&amp;" / "&amp;Anmeldung!$J$21,"")</f>
        <v/>
      </c>
      <c r="BO8" t="str">
        <f>IF(AND(14&lt;&gt;19,Anmeldung!$D$21&lt;&gt;"",Anmeldung!$G$21=Anmeldung!$G$26,Anmeldung!$J$21=Anmeldung!$J$26,(Anmeldung!$B$21&amp;": "&amp;Anmeldung!$D$21&amp;", "&amp;Anmeldung!$E$21&amp;" / "&amp;Anmeldung!$G$21&amp;" / "&amp;Anmeldung!$J$21)&lt;&gt;Anmeldung!$O$26),Anmeldung!$B$21&amp;": "&amp;Anmeldung!$D$21&amp;", "&amp;Anmeldung!$E$21&amp;" / "&amp;Anmeldung!$G$21&amp;" / "&amp;Anmeldung!$J$21,"")</f>
        <v/>
      </c>
      <c r="BP8" t="str">
        <f>IF(AND(14&lt;&gt;19,Anmeldung!$D$21&lt;&gt;"",Anmeldung!$G$21&lt;&gt;Anmeldung!$G$26,(Anmeldung!$B$21&amp;": "&amp;Anmeldung!$D$21&amp;", "&amp;Anmeldung!$E$21&amp;" / "&amp;Anmeldung!$G$21&amp;" / "&amp;Anmeldung!$J$21)&lt;&gt;Anmeldung!$S$26),Anmeldung!$B$21&amp;": "&amp;Anmeldung!$D$21&amp;", "&amp;Anmeldung!$E$21&amp;" / "&amp;Anmeldung!$G$21&amp;" / "&amp;Anmeldung!$J$21,"")</f>
        <v/>
      </c>
      <c r="BQ8" t="str">
        <f>IF(AND(14&lt;&gt;19,Anmeldung!$D$21&lt;&gt;"",(Anmeldung!$B$21&amp;": "&amp;Anmeldung!$D$21&amp;", "&amp;Anmeldung!$E$21&amp;" / "&amp;Anmeldung!$G$21&amp;" / "&amp;Anmeldung!$J$21)&lt;&gt;Anmeldung!$R$26),Anmeldung!$B$21&amp;": "&amp;Anmeldung!$D$21&amp;", "&amp;Anmeldung!$E$21&amp;" / "&amp;Anmeldung!$G$21&amp;" / "&amp;Anmeldung!$J$21,"")</f>
        <v/>
      </c>
      <c r="BR8" t="str">
        <f>IF(AND(13&lt;&gt;18,Anmeldung!$D$21&lt;&gt;"",Anmeldung!$U$21="Ja",Anmeldung!$G$21=Anmeldung!$G$26,Anmeldung!$J$21=Anmeldung!$J$26),Anmeldung!$B$21&amp;": "&amp;Anmeldung!$D$21&amp;", "&amp;Anmeldung!$E$21&amp;" / "&amp;Anmeldung!$G$21&amp;" / "&amp;Anmeldung!$J$21,"")</f>
        <v/>
      </c>
      <c r="BU8" t="str">
        <f>IF(AND(14&lt;&gt;20,Anmeldung!$D$21&lt;&gt;"",Anmeldung!$G$21=Anmeldung!$G$27,Anmeldung!$J$21=Anmeldung!$J$27),Anmeldung!$B$21&amp;": "&amp;Anmeldung!$D$21&amp;", "&amp;Anmeldung!$E$21&amp;" / "&amp;Anmeldung!$G$21&amp;" / "&amp;Anmeldung!$J$21,"")</f>
        <v/>
      </c>
      <c r="BV8" t="str">
        <f>IF(AND(14&lt;&gt;20,Anmeldung!$D$21&lt;&gt;"",Anmeldung!$G$21=Anmeldung!$G$27,Anmeldung!$J$21=Anmeldung!$J$27,(Anmeldung!$B$21&amp;": "&amp;Anmeldung!$D$21&amp;", "&amp;Anmeldung!$E$21&amp;" / "&amp;Anmeldung!$G$21&amp;" / "&amp;Anmeldung!$J$21)&lt;&gt;Anmeldung!$P$27),Anmeldung!$B$21&amp;": "&amp;Anmeldung!$D$21&amp;", "&amp;Anmeldung!$E$21&amp;" / "&amp;Anmeldung!$G$21&amp;" / "&amp;Anmeldung!$J$21,"")</f>
        <v/>
      </c>
      <c r="BW8" t="str">
        <f>IF(AND(14&lt;&gt;20,Anmeldung!$D$21&lt;&gt;"",Anmeldung!$G$21=Anmeldung!$G$27,Anmeldung!$J$21=Anmeldung!$J$27,(Anmeldung!$B$21&amp;": "&amp;Anmeldung!$D$21&amp;", "&amp;Anmeldung!$E$21&amp;" / "&amp;Anmeldung!$G$21&amp;" / "&amp;Anmeldung!$J$21)&lt;&gt;Anmeldung!$O$27),Anmeldung!$B$21&amp;": "&amp;Anmeldung!$D$21&amp;", "&amp;Anmeldung!$E$21&amp;" / "&amp;Anmeldung!$G$21&amp;" / "&amp;Anmeldung!$J$21,"")</f>
        <v/>
      </c>
      <c r="BX8" t="str">
        <f>IF(AND(14&lt;&gt;20,Anmeldung!$D$21&lt;&gt;"",Anmeldung!$G$21&lt;&gt;Anmeldung!$G$27,(Anmeldung!$B$21&amp;": "&amp;Anmeldung!$D$21&amp;", "&amp;Anmeldung!$E$21&amp;" / "&amp;Anmeldung!$G$21&amp;" / "&amp;Anmeldung!$J$21)&lt;&gt;Anmeldung!$S$27),Anmeldung!$B$21&amp;": "&amp;Anmeldung!$D$21&amp;", "&amp;Anmeldung!$E$21&amp;" / "&amp;Anmeldung!$G$21&amp;" / "&amp;Anmeldung!$J$21,"")</f>
        <v/>
      </c>
      <c r="BY8" t="str">
        <f>IF(AND(14&lt;&gt;20,Anmeldung!$D$21&lt;&gt;"",(Anmeldung!$B$21&amp;": "&amp;Anmeldung!$D$21&amp;", "&amp;Anmeldung!$E$21&amp;" / "&amp;Anmeldung!$G$21&amp;" / "&amp;Anmeldung!$J$21)&lt;&gt;Anmeldung!$R$27),Anmeldung!$B$21&amp;": "&amp;Anmeldung!$D$21&amp;", "&amp;Anmeldung!$E$21&amp;" / "&amp;Anmeldung!$G$21&amp;" / "&amp;Anmeldung!$J$21,"")</f>
        <v/>
      </c>
      <c r="BZ8" t="str">
        <f>IF(AND(13&lt;&gt;19,Anmeldung!$D$21&lt;&gt;"",Anmeldung!$U$21="Ja",Anmeldung!$G$21=Anmeldung!$G$27,Anmeldung!$J$21=Anmeldung!$J$27),Anmeldung!$B$21&amp;": "&amp;Anmeldung!$D$21&amp;", "&amp;Anmeldung!$E$21&amp;" / "&amp;Anmeldung!$G$21&amp;" / "&amp;Anmeldung!$J$21,"")</f>
        <v/>
      </c>
      <c r="CC8" t="str">
        <f>IF(AND(14&lt;&gt;21,Anmeldung!$D$21&lt;&gt;"",Anmeldung!$G$21=Anmeldung!$G$28,Anmeldung!$J$21=Anmeldung!$J$28),Anmeldung!$B$21&amp;": "&amp;Anmeldung!$D$21&amp;", "&amp;Anmeldung!$E$21&amp;" / "&amp;Anmeldung!$G$21&amp;" / "&amp;Anmeldung!$J$21,"")</f>
        <v/>
      </c>
      <c r="CD8" t="str">
        <f>IF(AND(14&lt;&gt;21,Anmeldung!$D$21&lt;&gt;"",Anmeldung!$G$21=Anmeldung!$G$28,Anmeldung!$J$21=Anmeldung!$J$28,(Anmeldung!$B$21&amp;": "&amp;Anmeldung!$D$21&amp;", "&amp;Anmeldung!$E$21&amp;" / "&amp;Anmeldung!$G$21&amp;" / "&amp;Anmeldung!$J$21)&lt;&gt;Anmeldung!$P$28),Anmeldung!$B$21&amp;": "&amp;Anmeldung!$D$21&amp;", "&amp;Anmeldung!$E$21&amp;" / "&amp;Anmeldung!$G$21&amp;" / "&amp;Anmeldung!$J$21,"")</f>
        <v/>
      </c>
      <c r="CE8" t="str">
        <f>IF(AND(14&lt;&gt;21,Anmeldung!$D$21&lt;&gt;"",Anmeldung!$G$21=Anmeldung!$G$28,Anmeldung!$J$21=Anmeldung!$J$28,(Anmeldung!$B$21&amp;": "&amp;Anmeldung!$D$21&amp;", "&amp;Anmeldung!$E$21&amp;" / "&amp;Anmeldung!$G$21&amp;" / "&amp;Anmeldung!$J$21)&lt;&gt;Anmeldung!$O$28),Anmeldung!$B$21&amp;": "&amp;Anmeldung!$D$21&amp;", "&amp;Anmeldung!$E$21&amp;" / "&amp;Anmeldung!$G$21&amp;" / "&amp;Anmeldung!$J$21,"")</f>
        <v/>
      </c>
      <c r="CF8" t="str">
        <f>IF(AND(14&lt;&gt;21,Anmeldung!$D$21&lt;&gt;"",Anmeldung!$G$21&lt;&gt;Anmeldung!$G$28,(Anmeldung!$B$21&amp;": "&amp;Anmeldung!$D$21&amp;", "&amp;Anmeldung!$E$21&amp;" / "&amp;Anmeldung!$G$21&amp;" / "&amp;Anmeldung!$J$21)&lt;&gt;Anmeldung!$S$28),Anmeldung!$B$21&amp;": "&amp;Anmeldung!$D$21&amp;", "&amp;Anmeldung!$E$21&amp;" / "&amp;Anmeldung!$G$21&amp;" / "&amp;Anmeldung!$J$21,"")</f>
        <v/>
      </c>
      <c r="CG8" t="str">
        <f>IF(AND(14&lt;&gt;21,Anmeldung!$D$21&lt;&gt;"",(Anmeldung!$B$21&amp;": "&amp;Anmeldung!$D$21&amp;", "&amp;Anmeldung!$E$21&amp;" / "&amp;Anmeldung!$G$21&amp;" / "&amp;Anmeldung!$J$21)&lt;&gt;Anmeldung!$R$28),Anmeldung!$B$21&amp;": "&amp;Anmeldung!$D$21&amp;", "&amp;Anmeldung!$E$21&amp;" / "&amp;Anmeldung!$G$21&amp;" / "&amp;Anmeldung!$J$21,"")</f>
        <v/>
      </c>
      <c r="CH8" t="str">
        <f>IF(AND(13&lt;&gt;20,Anmeldung!$D$21&lt;&gt;"",Anmeldung!$U$21="Ja",Anmeldung!$G$21=Anmeldung!$G$28,Anmeldung!$J$21=Anmeldung!$J$28),Anmeldung!$B$21&amp;": "&amp;Anmeldung!$D$21&amp;", "&amp;Anmeldung!$E$21&amp;" / "&amp;Anmeldung!$G$21&amp;" / "&amp;Anmeldung!$J$21,"")</f>
        <v/>
      </c>
      <c r="CK8" t="str">
        <f>IF(AND(14&lt;&gt;22,Anmeldung!$D$21&lt;&gt;"",Anmeldung!$G$21=Anmeldung!$G$29,Anmeldung!$J$21=Anmeldung!$J$29),Anmeldung!$B$21&amp;": "&amp;Anmeldung!$D$21&amp;", "&amp;Anmeldung!$E$21&amp;" / "&amp;Anmeldung!$G$21&amp;" / "&amp;Anmeldung!$J$21,"")</f>
        <v/>
      </c>
      <c r="CL8" t="str">
        <f>IF(AND(14&lt;&gt;22,Anmeldung!$D$21&lt;&gt;"",Anmeldung!$G$21=Anmeldung!$G$29,Anmeldung!$J$21=Anmeldung!$J$29,(Anmeldung!$B$21&amp;": "&amp;Anmeldung!$D$21&amp;", "&amp;Anmeldung!$E$21&amp;" / "&amp;Anmeldung!$G$21&amp;" / "&amp;Anmeldung!$J$21)&lt;&gt;Anmeldung!$P$29),Anmeldung!$B$21&amp;": "&amp;Anmeldung!$D$21&amp;", "&amp;Anmeldung!$E$21&amp;" / "&amp;Anmeldung!$G$21&amp;" / "&amp;Anmeldung!$J$21,"")</f>
        <v/>
      </c>
      <c r="CM8" t="str">
        <f>IF(AND(14&lt;&gt;22,Anmeldung!$D$21&lt;&gt;"",Anmeldung!$G$21=Anmeldung!$G$29,Anmeldung!$J$21=Anmeldung!$J$29,(Anmeldung!$B$21&amp;": "&amp;Anmeldung!$D$21&amp;", "&amp;Anmeldung!$E$21&amp;" / "&amp;Anmeldung!$G$21&amp;" / "&amp;Anmeldung!$J$21)&lt;&gt;Anmeldung!$O$29),Anmeldung!$B$21&amp;": "&amp;Anmeldung!$D$21&amp;", "&amp;Anmeldung!$E$21&amp;" / "&amp;Anmeldung!$G$21&amp;" / "&amp;Anmeldung!$J$21,"")</f>
        <v/>
      </c>
      <c r="CN8" t="str">
        <f>IF(AND(14&lt;&gt;22,Anmeldung!$D$21&lt;&gt;"",Anmeldung!$G$21&lt;&gt;Anmeldung!$G$29,(Anmeldung!$B$21&amp;": "&amp;Anmeldung!$D$21&amp;", "&amp;Anmeldung!$E$21&amp;" / "&amp;Anmeldung!$G$21&amp;" / "&amp;Anmeldung!$J$21)&lt;&gt;Anmeldung!$S$29),Anmeldung!$B$21&amp;": "&amp;Anmeldung!$D$21&amp;", "&amp;Anmeldung!$E$21&amp;" / "&amp;Anmeldung!$G$21&amp;" / "&amp;Anmeldung!$J$21,"")</f>
        <v/>
      </c>
      <c r="CO8" t="str">
        <f>IF(AND(14&lt;&gt;22,Anmeldung!$D$21&lt;&gt;"",(Anmeldung!$B$21&amp;": "&amp;Anmeldung!$D$21&amp;", "&amp;Anmeldung!$E$21&amp;" / "&amp;Anmeldung!$G$21&amp;" / "&amp;Anmeldung!$J$21)&lt;&gt;Anmeldung!$R$29),Anmeldung!$B$21&amp;": "&amp;Anmeldung!$D$21&amp;", "&amp;Anmeldung!$E$21&amp;" / "&amp;Anmeldung!$G$21&amp;" / "&amp;Anmeldung!$J$21,"")</f>
        <v/>
      </c>
      <c r="CP8" t="str">
        <f>IF(AND(13&lt;&gt;21,Anmeldung!$D$21&lt;&gt;"",Anmeldung!$U$21="Ja",Anmeldung!$G$21=Anmeldung!$G$29,Anmeldung!$J$21=Anmeldung!$J$29),Anmeldung!$B$21&amp;": "&amp;Anmeldung!$D$21&amp;", "&amp;Anmeldung!$E$21&amp;" / "&amp;Anmeldung!$G$21&amp;" / "&amp;Anmeldung!$J$21,"")</f>
        <v/>
      </c>
      <c r="CS8" t="str">
        <f>IF(AND(14&lt;&gt;23,Anmeldung!$D$21&lt;&gt;"",Anmeldung!$G$21=Anmeldung!$G$30,Anmeldung!$J$21=Anmeldung!$J$30),Anmeldung!$B$21&amp;": "&amp;Anmeldung!$D$21&amp;", "&amp;Anmeldung!$E$21&amp;" / "&amp;Anmeldung!$G$21&amp;" / "&amp;Anmeldung!$J$21,"")</f>
        <v/>
      </c>
      <c r="CT8" t="str">
        <f>IF(AND(14&lt;&gt;23,Anmeldung!$D$21&lt;&gt;"",Anmeldung!$G$21=Anmeldung!$G$30,Anmeldung!$J$21=Anmeldung!$J$30,(Anmeldung!$B$21&amp;": "&amp;Anmeldung!$D$21&amp;", "&amp;Anmeldung!$E$21&amp;" / "&amp;Anmeldung!$G$21&amp;" / "&amp;Anmeldung!$J$21)&lt;&gt;Anmeldung!$P$30),Anmeldung!$B$21&amp;": "&amp;Anmeldung!$D$21&amp;", "&amp;Anmeldung!$E$21&amp;" / "&amp;Anmeldung!$G$21&amp;" / "&amp;Anmeldung!$J$21,"")</f>
        <v/>
      </c>
      <c r="CU8" t="str">
        <f>IF(AND(14&lt;&gt;23,Anmeldung!$D$21&lt;&gt;"",Anmeldung!$G$21=Anmeldung!$G$30,Anmeldung!$J$21=Anmeldung!$J$30,(Anmeldung!$B$21&amp;": "&amp;Anmeldung!$D$21&amp;", "&amp;Anmeldung!$E$21&amp;" / "&amp;Anmeldung!$G$21&amp;" / "&amp;Anmeldung!$J$21)&lt;&gt;Anmeldung!$O$30),Anmeldung!$B$21&amp;": "&amp;Anmeldung!$D$21&amp;", "&amp;Anmeldung!$E$21&amp;" / "&amp;Anmeldung!$G$21&amp;" / "&amp;Anmeldung!$J$21,"")</f>
        <v/>
      </c>
      <c r="CV8" t="str">
        <f>IF(AND(14&lt;&gt;23,Anmeldung!$D$21&lt;&gt;"",Anmeldung!$G$21&lt;&gt;Anmeldung!$G$30,(Anmeldung!$B$21&amp;": "&amp;Anmeldung!$D$21&amp;", "&amp;Anmeldung!$E$21&amp;" / "&amp;Anmeldung!$G$21&amp;" / "&amp;Anmeldung!$J$21)&lt;&gt;Anmeldung!$S$30),Anmeldung!$B$21&amp;": "&amp;Anmeldung!$D$21&amp;", "&amp;Anmeldung!$E$21&amp;" / "&amp;Anmeldung!$G$21&amp;" / "&amp;Anmeldung!$J$21,"")</f>
        <v/>
      </c>
      <c r="CW8" t="str">
        <f>IF(AND(14&lt;&gt;23,Anmeldung!$D$21&lt;&gt;"",(Anmeldung!$B$21&amp;": "&amp;Anmeldung!$D$21&amp;", "&amp;Anmeldung!$E$21&amp;" / "&amp;Anmeldung!$G$21&amp;" / "&amp;Anmeldung!$J$21)&lt;&gt;Anmeldung!$R$30),Anmeldung!$B$21&amp;": "&amp;Anmeldung!$D$21&amp;", "&amp;Anmeldung!$E$21&amp;" / "&amp;Anmeldung!$G$21&amp;" / "&amp;Anmeldung!$J$21,"")</f>
        <v/>
      </c>
      <c r="CX8" t="str">
        <f>IF(AND(13&lt;&gt;22,Anmeldung!$D$21&lt;&gt;"",Anmeldung!$U$21="Ja",Anmeldung!$G$21=Anmeldung!$G$30,Anmeldung!$J$21=Anmeldung!$J$30),Anmeldung!$B$21&amp;": "&amp;Anmeldung!$D$21&amp;", "&amp;Anmeldung!$E$21&amp;" / "&amp;Anmeldung!$G$21&amp;" / "&amp;Anmeldung!$J$21,"")</f>
        <v/>
      </c>
      <c r="DA8" t="str">
        <f>IF(AND(14&lt;&gt;24,Anmeldung!$D$21&lt;&gt;"",Anmeldung!$G$21=Anmeldung!$G$31,Anmeldung!$J$21=Anmeldung!$J$31),Anmeldung!$B$21&amp;": "&amp;Anmeldung!$D$21&amp;", "&amp;Anmeldung!$E$21&amp;" / "&amp;Anmeldung!$G$21&amp;" / "&amp;Anmeldung!$J$21,"")</f>
        <v/>
      </c>
      <c r="DB8" t="str">
        <f>IF(AND(14&lt;&gt;24,Anmeldung!$D$21&lt;&gt;"",Anmeldung!$G$21=Anmeldung!$G$31,Anmeldung!$J$21=Anmeldung!$J$31,(Anmeldung!$B$21&amp;": "&amp;Anmeldung!$D$21&amp;", "&amp;Anmeldung!$E$21&amp;" / "&amp;Anmeldung!$G$21&amp;" / "&amp;Anmeldung!$J$21)&lt;&gt;Anmeldung!$P$31),Anmeldung!$B$21&amp;": "&amp;Anmeldung!$D$21&amp;", "&amp;Anmeldung!$E$21&amp;" / "&amp;Anmeldung!$G$21&amp;" / "&amp;Anmeldung!$J$21,"")</f>
        <v/>
      </c>
      <c r="DC8" t="str">
        <f>IF(AND(14&lt;&gt;24,Anmeldung!$D$21&lt;&gt;"",Anmeldung!$G$21=Anmeldung!$G$31,Anmeldung!$J$21=Anmeldung!$J$31,(Anmeldung!$B$21&amp;": "&amp;Anmeldung!$D$21&amp;", "&amp;Anmeldung!$E$21&amp;" / "&amp;Anmeldung!$G$21&amp;" / "&amp;Anmeldung!$J$21)&lt;&gt;Anmeldung!$O$31),Anmeldung!$B$21&amp;": "&amp;Anmeldung!$D$21&amp;", "&amp;Anmeldung!$E$21&amp;" / "&amp;Anmeldung!$G$21&amp;" / "&amp;Anmeldung!$J$21,"")</f>
        <v/>
      </c>
      <c r="DD8" t="str">
        <f>IF(AND(14&lt;&gt;24,Anmeldung!$D$21&lt;&gt;"",Anmeldung!$G$21&lt;&gt;Anmeldung!$G$31,(Anmeldung!$B$21&amp;": "&amp;Anmeldung!$D$21&amp;", "&amp;Anmeldung!$E$21&amp;" / "&amp;Anmeldung!$G$21&amp;" / "&amp;Anmeldung!$J$21)&lt;&gt;Anmeldung!$S$31),Anmeldung!$B$21&amp;": "&amp;Anmeldung!$D$21&amp;", "&amp;Anmeldung!$E$21&amp;" / "&amp;Anmeldung!$G$21&amp;" / "&amp;Anmeldung!$J$21,"")</f>
        <v/>
      </c>
      <c r="DE8" t="str">
        <f>IF(AND(14&lt;&gt;24,Anmeldung!$D$21&lt;&gt;"",(Anmeldung!$B$21&amp;": "&amp;Anmeldung!$D$21&amp;", "&amp;Anmeldung!$E$21&amp;" / "&amp;Anmeldung!$G$21&amp;" / "&amp;Anmeldung!$J$21)&lt;&gt;Anmeldung!$R$31),Anmeldung!$B$21&amp;": "&amp;Anmeldung!$D$21&amp;", "&amp;Anmeldung!$E$21&amp;" / "&amp;Anmeldung!$G$21&amp;" / "&amp;Anmeldung!$J$21,"")</f>
        <v/>
      </c>
      <c r="DF8" t="str">
        <f>IF(AND(13&lt;&gt;23,Anmeldung!$D$21&lt;&gt;"",Anmeldung!$U$21="Ja",Anmeldung!$G$21=Anmeldung!$G$31,Anmeldung!$J$21=Anmeldung!$J$31),Anmeldung!$B$21&amp;": "&amp;Anmeldung!$D$21&amp;", "&amp;Anmeldung!$E$21&amp;" / "&amp;Anmeldung!$G$21&amp;" / "&amp;Anmeldung!$J$21,"")</f>
        <v/>
      </c>
      <c r="DI8" t="str">
        <f>IF(AND(14&lt;&gt;25,Anmeldung!$D$21&lt;&gt;"",Anmeldung!$G$21=Anmeldung!$G$32,Anmeldung!$J$21=Anmeldung!$J$32),Anmeldung!$B$21&amp;": "&amp;Anmeldung!$D$21&amp;", "&amp;Anmeldung!$E$21&amp;" / "&amp;Anmeldung!$G$21&amp;" / "&amp;Anmeldung!$J$21,"")</f>
        <v/>
      </c>
      <c r="DJ8" t="str">
        <f>IF(AND(14&lt;&gt;25,Anmeldung!$D$21&lt;&gt;"",Anmeldung!$G$21=Anmeldung!$G$32,Anmeldung!$J$21=Anmeldung!$J$32,(Anmeldung!$B$21&amp;": "&amp;Anmeldung!$D$21&amp;", "&amp;Anmeldung!$E$21&amp;" / "&amp;Anmeldung!$G$21&amp;" / "&amp;Anmeldung!$J$21)&lt;&gt;Anmeldung!$P$32),Anmeldung!$B$21&amp;": "&amp;Anmeldung!$D$21&amp;", "&amp;Anmeldung!$E$21&amp;" / "&amp;Anmeldung!$G$21&amp;" / "&amp;Anmeldung!$J$21,"")</f>
        <v/>
      </c>
      <c r="DK8" t="str">
        <f>IF(AND(14&lt;&gt;25,Anmeldung!$D$21&lt;&gt;"",Anmeldung!$G$21=Anmeldung!$G$32,Anmeldung!$J$21=Anmeldung!$J$32,(Anmeldung!$B$21&amp;": "&amp;Anmeldung!$D$21&amp;", "&amp;Anmeldung!$E$21&amp;" / "&amp;Anmeldung!$G$21&amp;" / "&amp;Anmeldung!$J$21)&lt;&gt;Anmeldung!$O$32),Anmeldung!$B$21&amp;": "&amp;Anmeldung!$D$21&amp;", "&amp;Anmeldung!$E$21&amp;" / "&amp;Anmeldung!$G$21&amp;" / "&amp;Anmeldung!$J$21,"")</f>
        <v/>
      </c>
      <c r="DL8" t="str">
        <f>IF(AND(14&lt;&gt;25,Anmeldung!$D$21&lt;&gt;"",Anmeldung!$G$21&lt;&gt;Anmeldung!$G$32,(Anmeldung!$B$21&amp;": "&amp;Anmeldung!$D$21&amp;", "&amp;Anmeldung!$E$21&amp;" / "&amp;Anmeldung!$G$21&amp;" / "&amp;Anmeldung!$J$21)&lt;&gt;Anmeldung!$S$32),Anmeldung!$B$21&amp;": "&amp;Anmeldung!$D$21&amp;", "&amp;Anmeldung!$E$21&amp;" / "&amp;Anmeldung!$G$21&amp;" / "&amp;Anmeldung!$J$21,"")</f>
        <v/>
      </c>
      <c r="DM8" t="str">
        <f>IF(AND(14&lt;&gt;25,Anmeldung!$D$21&lt;&gt;"",(Anmeldung!$B$21&amp;": "&amp;Anmeldung!$D$21&amp;", "&amp;Anmeldung!$E$21&amp;" / "&amp;Anmeldung!$G$21&amp;" / "&amp;Anmeldung!$J$21)&lt;&gt;Anmeldung!$R$32),Anmeldung!$B$21&amp;": "&amp;Anmeldung!$D$21&amp;", "&amp;Anmeldung!$E$21&amp;" / "&amp;Anmeldung!$G$21&amp;" / "&amp;Anmeldung!$J$21,"")</f>
        <v/>
      </c>
      <c r="DN8" t="str">
        <f>IF(AND(13&lt;&gt;24,Anmeldung!$D$21&lt;&gt;"",Anmeldung!$U$21="Ja",Anmeldung!$G$21=Anmeldung!$G$32,Anmeldung!$J$21=Anmeldung!$J$32),Anmeldung!$B$21&amp;": "&amp;Anmeldung!$D$21&amp;", "&amp;Anmeldung!$E$21&amp;" / "&amp;Anmeldung!$G$21&amp;" / "&amp;Anmeldung!$J$21,"")</f>
        <v/>
      </c>
      <c r="DQ8" t="str">
        <f>IF(AND(14&lt;&gt;26,Anmeldung!$D$21&lt;&gt;"",Anmeldung!$G$21=Anmeldung!$G$33,Anmeldung!$J$21=Anmeldung!$J$33),Anmeldung!$B$21&amp;": "&amp;Anmeldung!$D$21&amp;", "&amp;Anmeldung!$E$21&amp;" / "&amp;Anmeldung!$G$21&amp;" / "&amp;Anmeldung!$J$21,"")</f>
        <v/>
      </c>
      <c r="DR8" t="str">
        <f>IF(AND(14&lt;&gt;26,Anmeldung!$D$21&lt;&gt;"",Anmeldung!$G$21=Anmeldung!$G$33,Anmeldung!$J$21=Anmeldung!$J$33,(Anmeldung!$B$21&amp;": "&amp;Anmeldung!$D$21&amp;", "&amp;Anmeldung!$E$21&amp;" / "&amp;Anmeldung!$G$21&amp;" / "&amp;Anmeldung!$J$21)&lt;&gt;Anmeldung!$P$33),Anmeldung!$B$21&amp;": "&amp;Anmeldung!$D$21&amp;", "&amp;Anmeldung!$E$21&amp;" / "&amp;Anmeldung!$G$21&amp;" / "&amp;Anmeldung!$J$21,"")</f>
        <v/>
      </c>
      <c r="DS8" t="str">
        <f>IF(AND(14&lt;&gt;26,Anmeldung!$D$21&lt;&gt;"",Anmeldung!$G$21=Anmeldung!$G$33,Anmeldung!$J$21=Anmeldung!$J$33,(Anmeldung!$B$21&amp;": "&amp;Anmeldung!$D$21&amp;", "&amp;Anmeldung!$E$21&amp;" / "&amp;Anmeldung!$G$21&amp;" / "&amp;Anmeldung!$J$21)&lt;&gt;Anmeldung!$O$33),Anmeldung!$B$21&amp;": "&amp;Anmeldung!$D$21&amp;", "&amp;Anmeldung!$E$21&amp;" / "&amp;Anmeldung!$G$21&amp;" / "&amp;Anmeldung!$J$21,"")</f>
        <v/>
      </c>
      <c r="DT8" t="str">
        <f>IF(AND(14&lt;&gt;26,Anmeldung!$D$21&lt;&gt;"",Anmeldung!$G$21&lt;&gt;Anmeldung!$G$33,(Anmeldung!$B$21&amp;": "&amp;Anmeldung!$D$21&amp;", "&amp;Anmeldung!$E$21&amp;" / "&amp;Anmeldung!$G$21&amp;" / "&amp;Anmeldung!$J$21)&lt;&gt;Anmeldung!$S$33),Anmeldung!$B$21&amp;": "&amp;Anmeldung!$D$21&amp;", "&amp;Anmeldung!$E$21&amp;" / "&amp;Anmeldung!$G$21&amp;" / "&amp;Anmeldung!$J$21,"")</f>
        <v/>
      </c>
      <c r="DU8" t="str">
        <f>IF(AND(14&lt;&gt;26,Anmeldung!$D$21&lt;&gt;"",(Anmeldung!$B$21&amp;": "&amp;Anmeldung!$D$21&amp;", "&amp;Anmeldung!$E$21&amp;" / "&amp;Anmeldung!$G$21&amp;" / "&amp;Anmeldung!$J$21)&lt;&gt;Anmeldung!$R$33),Anmeldung!$B$21&amp;": "&amp;Anmeldung!$D$21&amp;", "&amp;Anmeldung!$E$21&amp;" / "&amp;Anmeldung!$G$21&amp;" / "&amp;Anmeldung!$J$21,"")</f>
        <v/>
      </c>
      <c r="DV8" t="str">
        <f>IF(AND(13&lt;&gt;25,Anmeldung!$D$21&lt;&gt;"",Anmeldung!$U$21="Ja",Anmeldung!$G$21=Anmeldung!$G$33,Anmeldung!$J$21=Anmeldung!$J$33),Anmeldung!$B$21&amp;": "&amp;Anmeldung!$D$21&amp;", "&amp;Anmeldung!$E$21&amp;" / "&amp;Anmeldung!$G$21&amp;" / "&amp;Anmeldung!$J$21,"")</f>
        <v/>
      </c>
      <c r="DY8" t="str">
        <f>IF(AND(14&lt;&gt;27,Anmeldung!$D$21&lt;&gt;"",Anmeldung!$G$21=Anmeldung!$G$34,Anmeldung!$J$21=Anmeldung!$J$34),Anmeldung!$B$21&amp;": "&amp;Anmeldung!$D$21&amp;", "&amp;Anmeldung!$E$21&amp;" / "&amp;Anmeldung!$G$21&amp;" / "&amp;Anmeldung!$J$21,"")</f>
        <v/>
      </c>
      <c r="DZ8" t="str">
        <f>IF(AND(14&lt;&gt;27,Anmeldung!$D$21&lt;&gt;"",Anmeldung!$G$21=Anmeldung!$G$34,Anmeldung!$J$21=Anmeldung!$J$34,(Anmeldung!$B$21&amp;": "&amp;Anmeldung!$D$21&amp;", "&amp;Anmeldung!$E$21&amp;" / "&amp;Anmeldung!$G$21&amp;" / "&amp;Anmeldung!$J$21)&lt;&gt;Anmeldung!$P$34),Anmeldung!$B$21&amp;": "&amp;Anmeldung!$D$21&amp;", "&amp;Anmeldung!$E$21&amp;" / "&amp;Anmeldung!$G$21&amp;" / "&amp;Anmeldung!$J$21,"")</f>
        <v/>
      </c>
      <c r="EA8" t="str">
        <f>IF(AND(14&lt;&gt;27,Anmeldung!$D$21&lt;&gt;"",Anmeldung!$G$21=Anmeldung!$G$34,Anmeldung!$J$21=Anmeldung!$J$34,(Anmeldung!$B$21&amp;": "&amp;Anmeldung!$D$21&amp;", "&amp;Anmeldung!$E$21&amp;" / "&amp;Anmeldung!$G$21&amp;" / "&amp;Anmeldung!$J$21)&lt;&gt;Anmeldung!$O$34),Anmeldung!$B$21&amp;": "&amp;Anmeldung!$D$21&amp;", "&amp;Anmeldung!$E$21&amp;" / "&amp;Anmeldung!$G$21&amp;" / "&amp;Anmeldung!$J$21,"")</f>
        <v/>
      </c>
      <c r="EB8" t="str">
        <f>IF(AND(14&lt;&gt;27,Anmeldung!$D$21&lt;&gt;"",Anmeldung!$G$21&lt;&gt;Anmeldung!$G$34,(Anmeldung!$B$21&amp;": "&amp;Anmeldung!$D$21&amp;", "&amp;Anmeldung!$E$21&amp;" / "&amp;Anmeldung!$G$21&amp;" / "&amp;Anmeldung!$J$21)&lt;&gt;Anmeldung!$S$34),Anmeldung!$B$21&amp;": "&amp;Anmeldung!$D$21&amp;", "&amp;Anmeldung!$E$21&amp;" / "&amp;Anmeldung!$G$21&amp;" / "&amp;Anmeldung!$J$21,"")</f>
        <v/>
      </c>
      <c r="EC8" t="str">
        <f>IF(AND(14&lt;&gt;27,Anmeldung!$D$21&lt;&gt;"",(Anmeldung!$B$21&amp;": "&amp;Anmeldung!$D$21&amp;", "&amp;Anmeldung!$E$21&amp;" / "&amp;Anmeldung!$G$21&amp;" / "&amp;Anmeldung!$J$21)&lt;&gt;Anmeldung!$R$34),Anmeldung!$B$21&amp;": "&amp;Anmeldung!$D$21&amp;", "&amp;Anmeldung!$E$21&amp;" / "&amp;Anmeldung!$G$21&amp;" / "&amp;Anmeldung!$J$21,"")</f>
        <v/>
      </c>
      <c r="ED8" t="str">
        <f>IF(AND(13&lt;&gt;26,Anmeldung!$D$21&lt;&gt;"",Anmeldung!$U$21="Ja",Anmeldung!$G$21=Anmeldung!$G$34,Anmeldung!$J$21=Anmeldung!$J$34),Anmeldung!$B$21&amp;": "&amp;Anmeldung!$D$21&amp;", "&amp;Anmeldung!$E$21&amp;" / "&amp;Anmeldung!$G$21&amp;" / "&amp;Anmeldung!$J$21,"")</f>
        <v/>
      </c>
      <c r="EG8" t="str">
        <f>IF(AND(14&lt;&gt;28,Anmeldung!$D$21&lt;&gt;"",Anmeldung!$G$21=Anmeldung!$G$35,Anmeldung!$J$21=Anmeldung!$J$35),Anmeldung!$B$21&amp;": "&amp;Anmeldung!$D$21&amp;", "&amp;Anmeldung!$E$21&amp;" / "&amp;Anmeldung!$G$21&amp;" / "&amp;Anmeldung!$J$21,"")</f>
        <v/>
      </c>
      <c r="EH8" t="str">
        <f>IF(AND(14&lt;&gt;28,Anmeldung!$D$21&lt;&gt;"",Anmeldung!$G$21=Anmeldung!$G$35,Anmeldung!$J$21=Anmeldung!$J$35,(Anmeldung!$B$21&amp;": "&amp;Anmeldung!$D$21&amp;", "&amp;Anmeldung!$E$21&amp;" / "&amp;Anmeldung!$G$21&amp;" / "&amp;Anmeldung!$J$21)&lt;&gt;Anmeldung!$P$35),Anmeldung!$B$21&amp;": "&amp;Anmeldung!$D$21&amp;", "&amp;Anmeldung!$E$21&amp;" / "&amp;Anmeldung!$G$21&amp;" / "&amp;Anmeldung!$J$21,"")</f>
        <v/>
      </c>
      <c r="EI8" t="str">
        <f>IF(AND(14&lt;&gt;28,Anmeldung!$D$21&lt;&gt;"",Anmeldung!$G$21=Anmeldung!$G$35,Anmeldung!$J$21=Anmeldung!$J$35,(Anmeldung!$B$21&amp;": "&amp;Anmeldung!$D$21&amp;", "&amp;Anmeldung!$E$21&amp;" / "&amp;Anmeldung!$G$21&amp;" / "&amp;Anmeldung!$J$21)&lt;&gt;Anmeldung!$O$35),Anmeldung!$B$21&amp;": "&amp;Anmeldung!$D$21&amp;", "&amp;Anmeldung!$E$21&amp;" / "&amp;Anmeldung!$G$21&amp;" / "&amp;Anmeldung!$J$21,"")</f>
        <v/>
      </c>
      <c r="EJ8" t="str">
        <f>IF(AND(14&lt;&gt;28,Anmeldung!$D$21&lt;&gt;"",Anmeldung!$G$21&lt;&gt;Anmeldung!$G$35,(Anmeldung!$B$21&amp;": "&amp;Anmeldung!$D$21&amp;", "&amp;Anmeldung!$E$21&amp;" / "&amp;Anmeldung!$G$21&amp;" / "&amp;Anmeldung!$J$21)&lt;&gt;Anmeldung!$S$35),Anmeldung!$B$21&amp;": "&amp;Anmeldung!$D$21&amp;", "&amp;Anmeldung!$E$21&amp;" / "&amp;Anmeldung!$G$21&amp;" / "&amp;Anmeldung!$J$21,"")</f>
        <v/>
      </c>
      <c r="EK8" t="str">
        <f>IF(AND(14&lt;&gt;28,Anmeldung!$D$21&lt;&gt;"",(Anmeldung!$B$21&amp;": "&amp;Anmeldung!$D$21&amp;", "&amp;Anmeldung!$E$21&amp;" / "&amp;Anmeldung!$G$21&amp;" / "&amp;Anmeldung!$J$21)&lt;&gt;Anmeldung!$R$35),Anmeldung!$B$21&amp;": "&amp;Anmeldung!$D$21&amp;", "&amp;Anmeldung!$E$21&amp;" / "&amp;Anmeldung!$G$21&amp;" / "&amp;Anmeldung!$J$21,"")</f>
        <v/>
      </c>
      <c r="EL8" t="str">
        <f>IF(AND(13&lt;&gt;27,Anmeldung!$D$21&lt;&gt;"",Anmeldung!$U$21="Ja",Anmeldung!$G$21=Anmeldung!$G$35,Anmeldung!$J$21=Anmeldung!$J$35),Anmeldung!$B$21&amp;": "&amp;Anmeldung!$D$21&amp;", "&amp;Anmeldung!$E$21&amp;" / "&amp;Anmeldung!$G$21&amp;" / "&amp;Anmeldung!$J$21,"")</f>
        <v/>
      </c>
      <c r="EO8" t="str">
        <f>IF(AND(14&lt;&gt;29,Anmeldung!$D$21&lt;&gt;"",Anmeldung!$G$21=Anmeldung!$G$36,Anmeldung!$J$21=Anmeldung!$J$36),Anmeldung!$B$21&amp;": "&amp;Anmeldung!$D$21&amp;", "&amp;Anmeldung!$E$21&amp;" / "&amp;Anmeldung!$G$21&amp;" / "&amp;Anmeldung!$J$21,"")</f>
        <v/>
      </c>
      <c r="EP8" t="str">
        <f>IF(AND(14&lt;&gt;29,Anmeldung!$D$21&lt;&gt;"",Anmeldung!$G$21=Anmeldung!$G$36,Anmeldung!$J$21=Anmeldung!$J$36,(Anmeldung!$B$21&amp;": "&amp;Anmeldung!$D$21&amp;", "&amp;Anmeldung!$E$21&amp;" / "&amp;Anmeldung!$G$21&amp;" / "&amp;Anmeldung!$J$21)&lt;&gt;Anmeldung!$P$36),Anmeldung!$B$21&amp;": "&amp;Anmeldung!$D$21&amp;", "&amp;Anmeldung!$E$21&amp;" / "&amp;Anmeldung!$G$21&amp;" / "&amp;Anmeldung!$J$21,"")</f>
        <v/>
      </c>
      <c r="EQ8" t="str">
        <f>IF(AND(14&lt;&gt;29,Anmeldung!$D$21&lt;&gt;"",Anmeldung!$G$21=Anmeldung!$G$36,Anmeldung!$J$21=Anmeldung!$J$36,(Anmeldung!$B$21&amp;": "&amp;Anmeldung!$D$21&amp;", "&amp;Anmeldung!$E$21&amp;" / "&amp;Anmeldung!$G$21&amp;" / "&amp;Anmeldung!$J$21)&lt;&gt;Anmeldung!$O$36),Anmeldung!$B$21&amp;": "&amp;Anmeldung!$D$21&amp;", "&amp;Anmeldung!$E$21&amp;" / "&amp;Anmeldung!$G$21&amp;" / "&amp;Anmeldung!$J$21,"")</f>
        <v/>
      </c>
      <c r="ER8" t="str">
        <f>IF(AND(14&lt;&gt;29,Anmeldung!$D$21&lt;&gt;"",Anmeldung!$G$21&lt;&gt;Anmeldung!$G$36,(Anmeldung!$B$21&amp;": "&amp;Anmeldung!$D$21&amp;", "&amp;Anmeldung!$E$21&amp;" / "&amp;Anmeldung!$G$21&amp;" / "&amp;Anmeldung!$J$21)&lt;&gt;Anmeldung!$S$36),Anmeldung!$B$21&amp;": "&amp;Anmeldung!$D$21&amp;", "&amp;Anmeldung!$E$21&amp;" / "&amp;Anmeldung!$G$21&amp;" / "&amp;Anmeldung!$J$21,"")</f>
        <v/>
      </c>
      <c r="ES8" t="str">
        <f>IF(AND(14&lt;&gt;29,Anmeldung!$D$21&lt;&gt;"",(Anmeldung!$B$21&amp;": "&amp;Anmeldung!$D$21&amp;", "&amp;Anmeldung!$E$21&amp;" / "&amp;Anmeldung!$G$21&amp;" / "&amp;Anmeldung!$J$21)&lt;&gt;Anmeldung!$R$36),Anmeldung!$B$21&amp;": "&amp;Anmeldung!$D$21&amp;", "&amp;Anmeldung!$E$21&amp;" / "&amp;Anmeldung!$G$21&amp;" / "&amp;Anmeldung!$J$21,"")</f>
        <v/>
      </c>
      <c r="ET8" t="str">
        <f>IF(AND(13&lt;&gt;28,Anmeldung!$D$21&lt;&gt;"",Anmeldung!$U$21="Ja",Anmeldung!$G$21=Anmeldung!$G$36,Anmeldung!$J$21=Anmeldung!$J$36),Anmeldung!$B$21&amp;": "&amp;Anmeldung!$D$21&amp;", "&amp;Anmeldung!$E$21&amp;" / "&amp;Anmeldung!$G$21&amp;" / "&amp;Anmeldung!$J$21,"")</f>
        <v/>
      </c>
      <c r="EW8" t="str">
        <f>IF(AND(14&lt;&gt;30,Anmeldung!$D$21&lt;&gt;"",Anmeldung!$G$21=Anmeldung!$G$37,Anmeldung!$J$21=Anmeldung!$J$37),Anmeldung!$B$21&amp;": "&amp;Anmeldung!$D$21&amp;", "&amp;Anmeldung!$E$21&amp;" / "&amp;Anmeldung!$G$21&amp;" / "&amp;Anmeldung!$J$21,"")</f>
        <v/>
      </c>
      <c r="EX8" t="str">
        <f>IF(AND(14&lt;&gt;30,Anmeldung!$D$21&lt;&gt;"",Anmeldung!$G$21=Anmeldung!$G$37,Anmeldung!$J$21=Anmeldung!$J$37,(Anmeldung!$B$21&amp;": "&amp;Anmeldung!$D$21&amp;", "&amp;Anmeldung!$E$21&amp;" / "&amp;Anmeldung!$G$21&amp;" / "&amp;Anmeldung!$J$21)&lt;&gt;Anmeldung!$P$37),Anmeldung!$B$21&amp;": "&amp;Anmeldung!$D$21&amp;", "&amp;Anmeldung!$E$21&amp;" / "&amp;Anmeldung!$G$21&amp;" / "&amp;Anmeldung!$J$21,"")</f>
        <v/>
      </c>
      <c r="EY8" t="str">
        <f>IF(AND(14&lt;&gt;30,Anmeldung!$D$21&lt;&gt;"",Anmeldung!$G$21=Anmeldung!$G$37,Anmeldung!$J$21=Anmeldung!$J$37,(Anmeldung!$B$21&amp;": "&amp;Anmeldung!$D$21&amp;", "&amp;Anmeldung!$E$21&amp;" / "&amp;Anmeldung!$G$21&amp;" / "&amp;Anmeldung!$J$21)&lt;&gt;Anmeldung!$O$37),Anmeldung!$B$21&amp;": "&amp;Anmeldung!$D$21&amp;", "&amp;Anmeldung!$E$21&amp;" / "&amp;Anmeldung!$G$21&amp;" / "&amp;Anmeldung!$J$21,"")</f>
        <v/>
      </c>
      <c r="EZ8" t="str">
        <f>IF(AND(14&lt;&gt;30,Anmeldung!$D$21&lt;&gt;"",Anmeldung!$G$21&lt;&gt;Anmeldung!$G$37,(Anmeldung!$B$21&amp;": "&amp;Anmeldung!$D$21&amp;", "&amp;Anmeldung!$E$21&amp;" / "&amp;Anmeldung!$G$21&amp;" / "&amp;Anmeldung!$J$21)&lt;&gt;Anmeldung!$S$37),Anmeldung!$B$21&amp;": "&amp;Anmeldung!$D$21&amp;", "&amp;Anmeldung!$E$21&amp;" / "&amp;Anmeldung!$G$21&amp;" / "&amp;Anmeldung!$J$21,"")</f>
        <v/>
      </c>
      <c r="FA8" t="str">
        <f>IF(AND(14&lt;&gt;30,Anmeldung!$D$21&lt;&gt;"",(Anmeldung!$B$21&amp;": "&amp;Anmeldung!$D$21&amp;", "&amp;Anmeldung!$E$21&amp;" / "&amp;Anmeldung!$G$21&amp;" / "&amp;Anmeldung!$J$21)&lt;&gt;Anmeldung!$R$37),Anmeldung!$B$21&amp;": "&amp;Anmeldung!$D$21&amp;", "&amp;Anmeldung!$E$21&amp;" / "&amp;Anmeldung!$G$21&amp;" / "&amp;Anmeldung!$J$21,"")</f>
        <v/>
      </c>
      <c r="FB8" t="str">
        <f>IF(AND(13&lt;&gt;29,Anmeldung!$D$21&lt;&gt;"",Anmeldung!$U$21="Ja",Anmeldung!$G$21=Anmeldung!$G$37,Anmeldung!$J$21=Anmeldung!$J$37),Anmeldung!$B$21&amp;": "&amp;Anmeldung!$D$21&amp;", "&amp;Anmeldung!$E$21&amp;" / "&amp;Anmeldung!$G$21&amp;" / "&amp;Anmeldung!$J$21,"")</f>
        <v/>
      </c>
      <c r="FE8" t="str">
        <f>IF(AND(14&lt;&gt;31,Anmeldung!$D$21&lt;&gt;"",Anmeldung!$G$21=Anmeldung!$G$38,Anmeldung!$J$21=Anmeldung!$J$38),Anmeldung!$B$21&amp;": "&amp;Anmeldung!$D$21&amp;", "&amp;Anmeldung!$E$21&amp;" / "&amp;Anmeldung!$G$21&amp;" / "&amp;Anmeldung!$J$21,"")</f>
        <v/>
      </c>
      <c r="FF8" t="str">
        <f>IF(AND(14&lt;&gt;31,Anmeldung!$D$21&lt;&gt;"",Anmeldung!$G$21=Anmeldung!$G$38,Anmeldung!$J$21=Anmeldung!$J$38,(Anmeldung!$B$21&amp;": "&amp;Anmeldung!$D$21&amp;", "&amp;Anmeldung!$E$21&amp;" / "&amp;Anmeldung!$G$21&amp;" / "&amp;Anmeldung!$J$21)&lt;&gt;Anmeldung!$P$38),Anmeldung!$B$21&amp;": "&amp;Anmeldung!$D$21&amp;", "&amp;Anmeldung!$E$21&amp;" / "&amp;Anmeldung!$G$21&amp;" / "&amp;Anmeldung!$J$21,"")</f>
        <v/>
      </c>
      <c r="FG8" t="str">
        <f>IF(AND(14&lt;&gt;31,Anmeldung!$D$21&lt;&gt;"",Anmeldung!$G$21=Anmeldung!$G$38,Anmeldung!$J$21=Anmeldung!$J$38,(Anmeldung!$B$21&amp;": "&amp;Anmeldung!$D$21&amp;", "&amp;Anmeldung!$E$21&amp;" / "&amp;Anmeldung!$G$21&amp;" / "&amp;Anmeldung!$J$21)&lt;&gt;Anmeldung!$O$38),Anmeldung!$B$21&amp;": "&amp;Anmeldung!$D$21&amp;", "&amp;Anmeldung!$E$21&amp;" / "&amp;Anmeldung!$G$21&amp;" / "&amp;Anmeldung!$J$21,"")</f>
        <v/>
      </c>
      <c r="FH8" t="str">
        <f>IF(AND(14&lt;&gt;31,Anmeldung!$D$21&lt;&gt;"",Anmeldung!$G$21&lt;&gt;Anmeldung!$G$38,(Anmeldung!$B$21&amp;": "&amp;Anmeldung!$D$21&amp;", "&amp;Anmeldung!$E$21&amp;" / "&amp;Anmeldung!$G$21&amp;" / "&amp;Anmeldung!$J$21)&lt;&gt;Anmeldung!$S$38),Anmeldung!$B$21&amp;": "&amp;Anmeldung!$D$21&amp;", "&amp;Anmeldung!$E$21&amp;" / "&amp;Anmeldung!$G$21&amp;" / "&amp;Anmeldung!$J$21,"")</f>
        <v/>
      </c>
      <c r="FI8" t="str">
        <f>IF(AND(14&lt;&gt;31,Anmeldung!$D$21&lt;&gt;"",(Anmeldung!$B$21&amp;": "&amp;Anmeldung!$D$21&amp;", "&amp;Anmeldung!$E$21&amp;" / "&amp;Anmeldung!$G$21&amp;" / "&amp;Anmeldung!$J$21)&lt;&gt;Anmeldung!$R$38),Anmeldung!$B$21&amp;": "&amp;Anmeldung!$D$21&amp;", "&amp;Anmeldung!$E$21&amp;" / "&amp;Anmeldung!$G$21&amp;" / "&amp;Anmeldung!$J$21,"")</f>
        <v/>
      </c>
      <c r="FJ8" t="str">
        <f>IF(AND(13&lt;&gt;30,Anmeldung!$D$21&lt;&gt;"",Anmeldung!$U$21="Ja",Anmeldung!$G$21=Anmeldung!$G$38,Anmeldung!$J$21=Anmeldung!$J$38),Anmeldung!$B$21&amp;": "&amp;Anmeldung!$D$21&amp;", "&amp;Anmeldung!$E$21&amp;" / "&amp;Anmeldung!$G$21&amp;" / "&amp;Anmeldung!$J$21,"")</f>
        <v/>
      </c>
      <c r="FM8" t="str">
        <f>IF(AND(14&lt;&gt;32,Anmeldung!$D$21&lt;&gt;"",Anmeldung!$G$21=Anmeldung!$G$39,Anmeldung!$J$21=Anmeldung!$J$39),Anmeldung!$B$21&amp;": "&amp;Anmeldung!$D$21&amp;", "&amp;Anmeldung!$E$21&amp;" / "&amp;Anmeldung!$G$21&amp;" / "&amp;Anmeldung!$J$21,"")</f>
        <v/>
      </c>
      <c r="FN8" t="str">
        <f>IF(AND(14&lt;&gt;32,Anmeldung!$D$21&lt;&gt;"",Anmeldung!$G$21=Anmeldung!$G$39,Anmeldung!$J$21=Anmeldung!$J$39,(Anmeldung!$B$21&amp;": "&amp;Anmeldung!$D$21&amp;", "&amp;Anmeldung!$E$21&amp;" / "&amp;Anmeldung!$G$21&amp;" / "&amp;Anmeldung!$J$21)&lt;&gt;Anmeldung!$P$39),Anmeldung!$B$21&amp;": "&amp;Anmeldung!$D$21&amp;", "&amp;Anmeldung!$E$21&amp;" / "&amp;Anmeldung!$G$21&amp;" / "&amp;Anmeldung!$J$21,"")</f>
        <v/>
      </c>
      <c r="FO8" t="str">
        <f>IF(AND(14&lt;&gt;32,Anmeldung!$D$21&lt;&gt;"",Anmeldung!$G$21=Anmeldung!$G$39,Anmeldung!$J$21=Anmeldung!$J$39,(Anmeldung!$B$21&amp;": "&amp;Anmeldung!$D$21&amp;", "&amp;Anmeldung!$E$21&amp;" / "&amp;Anmeldung!$G$21&amp;" / "&amp;Anmeldung!$J$21)&lt;&gt;Anmeldung!$O$39),Anmeldung!$B$21&amp;": "&amp;Anmeldung!$D$21&amp;", "&amp;Anmeldung!$E$21&amp;" / "&amp;Anmeldung!$G$21&amp;" / "&amp;Anmeldung!$J$21,"")</f>
        <v/>
      </c>
      <c r="FP8" t="str">
        <f>IF(AND(14&lt;&gt;32,Anmeldung!$D$21&lt;&gt;"",Anmeldung!$G$21&lt;&gt;Anmeldung!$G$39,(Anmeldung!$B$21&amp;": "&amp;Anmeldung!$D$21&amp;", "&amp;Anmeldung!$E$21&amp;" / "&amp;Anmeldung!$G$21&amp;" / "&amp;Anmeldung!$J$21)&lt;&gt;Anmeldung!$S$39),Anmeldung!$B$21&amp;": "&amp;Anmeldung!$D$21&amp;", "&amp;Anmeldung!$E$21&amp;" / "&amp;Anmeldung!$G$21&amp;" / "&amp;Anmeldung!$J$21,"")</f>
        <v/>
      </c>
      <c r="FQ8" t="str">
        <f>IF(AND(14&lt;&gt;32,Anmeldung!$D$21&lt;&gt;"",(Anmeldung!$B$21&amp;": "&amp;Anmeldung!$D$21&amp;", "&amp;Anmeldung!$E$21&amp;" / "&amp;Anmeldung!$G$21&amp;" / "&amp;Anmeldung!$J$21)&lt;&gt;Anmeldung!$R$39),Anmeldung!$B$21&amp;": "&amp;Anmeldung!$D$21&amp;", "&amp;Anmeldung!$E$21&amp;" / "&amp;Anmeldung!$G$21&amp;" / "&amp;Anmeldung!$J$21,"")</f>
        <v/>
      </c>
      <c r="FR8" t="str">
        <f>IF(AND(13&lt;&gt;31,Anmeldung!$D$21&lt;&gt;"",Anmeldung!$U$21="Ja",Anmeldung!$G$21=Anmeldung!$G$39,Anmeldung!$J$21=Anmeldung!$J$39),Anmeldung!$B$21&amp;": "&amp;Anmeldung!$D$21&amp;", "&amp;Anmeldung!$E$21&amp;" / "&amp;Anmeldung!$G$21&amp;" / "&amp;Anmeldung!$J$21,"")</f>
        <v/>
      </c>
      <c r="FU8" t="str">
        <f>IF(AND(14&lt;&gt;33,Anmeldung!$D$21&lt;&gt;"",Anmeldung!$G$21=Anmeldung!$G$40,Anmeldung!$J$21=Anmeldung!$J$40),Anmeldung!$B$21&amp;": "&amp;Anmeldung!$D$21&amp;", "&amp;Anmeldung!$E$21&amp;" / "&amp;Anmeldung!$G$21&amp;" / "&amp;Anmeldung!$J$21,"")</f>
        <v/>
      </c>
      <c r="FV8" t="str">
        <f>IF(AND(14&lt;&gt;33,Anmeldung!$D$21&lt;&gt;"",Anmeldung!$G$21=Anmeldung!$G$40,Anmeldung!$J$21=Anmeldung!$J$40,(Anmeldung!$B$21&amp;": "&amp;Anmeldung!$D$21&amp;", "&amp;Anmeldung!$E$21&amp;" / "&amp;Anmeldung!$G$21&amp;" / "&amp;Anmeldung!$J$21)&lt;&gt;Anmeldung!$P$40),Anmeldung!$B$21&amp;": "&amp;Anmeldung!$D$21&amp;", "&amp;Anmeldung!$E$21&amp;" / "&amp;Anmeldung!$G$21&amp;" / "&amp;Anmeldung!$J$21,"")</f>
        <v/>
      </c>
      <c r="FW8" t="str">
        <f>IF(AND(14&lt;&gt;33,Anmeldung!$D$21&lt;&gt;"",Anmeldung!$G$21=Anmeldung!$G$40,Anmeldung!$J$21=Anmeldung!$J$40,(Anmeldung!$B$21&amp;": "&amp;Anmeldung!$D$21&amp;", "&amp;Anmeldung!$E$21&amp;" / "&amp;Anmeldung!$G$21&amp;" / "&amp;Anmeldung!$J$21)&lt;&gt;Anmeldung!$O$40),Anmeldung!$B$21&amp;": "&amp;Anmeldung!$D$21&amp;", "&amp;Anmeldung!$E$21&amp;" / "&amp;Anmeldung!$G$21&amp;" / "&amp;Anmeldung!$J$21,"")</f>
        <v/>
      </c>
      <c r="FX8" t="str">
        <f>IF(AND(14&lt;&gt;33,Anmeldung!$D$21&lt;&gt;"",Anmeldung!$G$21&lt;&gt;Anmeldung!$G$40,(Anmeldung!$B$21&amp;": "&amp;Anmeldung!$D$21&amp;", "&amp;Anmeldung!$E$21&amp;" / "&amp;Anmeldung!$G$21&amp;" / "&amp;Anmeldung!$J$21)&lt;&gt;Anmeldung!$S$40),Anmeldung!$B$21&amp;": "&amp;Anmeldung!$D$21&amp;", "&amp;Anmeldung!$E$21&amp;" / "&amp;Anmeldung!$G$21&amp;" / "&amp;Anmeldung!$J$21,"")</f>
        <v/>
      </c>
      <c r="FY8" t="str">
        <f>IF(AND(14&lt;&gt;33,Anmeldung!$D$21&lt;&gt;"",(Anmeldung!$B$21&amp;": "&amp;Anmeldung!$D$21&amp;", "&amp;Anmeldung!$E$21&amp;" / "&amp;Anmeldung!$G$21&amp;" / "&amp;Anmeldung!$J$21)&lt;&gt;Anmeldung!$R$40),Anmeldung!$B$21&amp;": "&amp;Anmeldung!$D$21&amp;", "&amp;Anmeldung!$E$21&amp;" / "&amp;Anmeldung!$G$21&amp;" / "&amp;Anmeldung!$J$21,"")</f>
        <v/>
      </c>
      <c r="FZ8" t="str">
        <f>IF(AND(13&lt;&gt;32,Anmeldung!$D$21&lt;&gt;"",Anmeldung!$U$21="Ja",Anmeldung!$G$21=Anmeldung!$G$40,Anmeldung!$J$21=Anmeldung!$J$40),Anmeldung!$B$21&amp;": "&amp;Anmeldung!$D$21&amp;", "&amp;Anmeldung!$E$21&amp;" / "&amp;Anmeldung!$G$21&amp;" / "&amp;Anmeldung!$J$21,"")</f>
        <v/>
      </c>
      <c r="GC8" t="str">
        <f>IF(AND(14&lt;&gt;34,Anmeldung!$D$21&lt;&gt;"",Anmeldung!$G$21=Anmeldung!$G$41,Anmeldung!$J$21=Anmeldung!$J$41),Anmeldung!$B$21&amp;": "&amp;Anmeldung!$D$21&amp;", "&amp;Anmeldung!$E$21&amp;" / "&amp;Anmeldung!$G$21&amp;" / "&amp;Anmeldung!$J$21,"")</f>
        <v/>
      </c>
      <c r="GD8" t="str">
        <f>IF(AND(14&lt;&gt;34,Anmeldung!$D$21&lt;&gt;"",Anmeldung!$G$21=Anmeldung!$G$41,Anmeldung!$J$21=Anmeldung!$J$41,(Anmeldung!$B$21&amp;": "&amp;Anmeldung!$D$21&amp;", "&amp;Anmeldung!$E$21&amp;" / "&amp;Anmeldung!$G$21&amp;" / "&amp;Anmeldung!$J$21)&lt;&gt;Anmeldung!$P$41),Anmeldung!$B$21&amp;": "&amp;Anmeldung!$D$21&amp;", "&amp;Anmeldung!$E$21&amp;" / "&amp;Anmeldung!$G$21&amp;" / "&amp;Anmeldung!$J$21,"")</f>
        <v/>
      </c>
      <c r="GE8" t="str">
        <f>IF(AND(14&lt;&gt;34,Anmeldung!$D$21&lt;&gt;"",Anmeldung!$G$21=Anmeldung!$G$41,Anmeldung!$J$21=Anmeldung!$J$41,(Anmeldung!$B$21&amp;": "&amp;Anmeldung!$D$21&amp;", "&amp;Anmeldung!$E$21&amp;" / "&amp;Anmeldung!$G$21&amp;" / "&amp;Anmeldung!$J$21)&lt;&gt;Anmeldung!$O$41),Anmeldung!$B$21&amp;": "&amp;Anmeldung!$D$21&amp;", "&amp;Anmeldung!$E$21&amp;" / "&amp;Anmeldung!$G$21&amp;" / "&amp;Anmeldung!$J$21,"")</f>
        <v/>
      </c>
      <c r="GF8" t="str">
        <f>IF(AND(14&lt;&gt;34,Anmeldung!$D$21&lt;&gt;"",Anmeldung!$G$21&lt;&gt;Anmeldung!$G$41,(Anmeldung!$B$21&amp;": "&amp;Anmeldung!$D$21&amp;", "&amp;Anmeldung!$E$21&amp;" / "&amp;Anmeldung!$G$21&amp;" / "&amp;Anmeldung!$J$21)&lt;&gt;Anmeldung!$S$41),Anmeldung!$B$21&amp;": "&amp;Anmeldung!$D$21&amp;", "&amp;Anmeldung!$E$21&amp;" / "&amp;Anmeldung!$G$21&amp;" / "&amp;Anmeldung!$J$21,"")</f>
        <v/>
      </c>
      <c r="GG8" t="str">
        <f>IF(AND(14&lt;&gt;34,Anmeldung!$D$21&lt;&gt;"",(Anmeldung!$B$21&amp;": "&amp;Anmeldung!$D$21&amp;", "&amp;Anmeldung!$E$21&amp;" / "&amp;Anmeldung!$G$21&amp;" / "&amp;Anmeldung!$J$21)&lt;&gt;Anmeldung!$R$41),Anmeldung!$B$21&amp;": "&amp;Anmeldung!$D$21&amp;", "&amp;Anmeldung!$E$21&amp;" / "&amp;Anmeldung!$G$21&amp;" / "&amp;Anmeldung!$J$21,"")</f>
        <v/>
      </c>
      <c r="GH8" t="str">
        <f>IF(AND(13&lt;&gt;33,Anmeldung!$D$21&lt;&gt;"",Anmeldung!$U$21="Ja",Anmeldung!$G$21=Anmeldung!$G$41,Anmeldung!$J$21=Anmeldung!$J$41),Anmeldung!$B$21&amp;": "&amp;Anmeldung!$D$21&amp;", "&amp;Anmeldung!$E$21&amp;" / "&amp;Anmeldung!$G$21&amp;" / "&amp;Anmeldung!$J$21,"")</f>
        <v/>
      </c>
      <c r="GK8" t="str">
        <f>IF(AND(14&lt;&gt;35,Anmeldung!$D$21&lt;&gt;"",Anmeldung!$G$21=Anmeldung!$G$42,Anmeldung!$J$21=Anmeldung!$J$42),Anmeldung!$B$21&amp;": "&amp;Anmeldung!$D$21&amp;", "&amp;Anmeldung!$E$21&amp;" / "&amp;Anmeldung!$G$21&amp;" / "&amp;Anmeldung!$J$21,"")</f>
        <v/>
      </c>
      <c r="GL8" t="str">
        <f>IF(AND(14&lt;&gt;35,Anmeldung!$D$21&lt;&gt;"",Anmeldung!$G$21=Anmeldung!$G$42,Anmeldung!$J$21=Anmeldung!$J$42,(Anmeldung!$B$21&amp;": "&amp;Anmeldung!$D$21&amp;", "&amp;Anmeldung!$E$21&amp;" / "&amp;Anmeldung!$G$21&amp;" / "&amp;Anmeldung!$J$21)&lt;&gt;Anmeldung!$P$42),Anmeldung!$B$21&amp;": "&amp;Anmeldung!$D$21&amp;", "&amp;Anmeldung!$E$21&amp;" / "&amp;Anmeldung!$G$21&amp;" / "&amp;Anmeldung!$J$21,"")</f>
        <v/>
      </c>
      <c r="GM8" t="str">
        <f>IF(AND(14&lt;&gt;35,Anmeldung!$D$21&lt;&gt;"",Anmeldung!$G$21=Anmeldung!$G$42,Anmeldung!$J$21=Anmeldung!$J$42,(Anmeldung!$B$21&amp;": "&amp;Anmeldung!$D$21&amp;", "&amp;Anmeldung!$E$21&amp;" / "&amp;Anmeldung!$G$21&amp;" / "&amp;Anmeldung!$J$21)&lt;&gt;Anmeldung!$O$42),Anmeldung!$B$21&amp;": "&amp;Anmeldung!$D$21&amp;", "&amp;Anmeldung!$E$21&amp;" / "&amp;Anmeldung!$G$21&amp;" / "&amp;Anmeldung!$J$21,"")</f>
        <v/>
      </c>
      <c r="GN8" t="str">
        <f>IF(AND(14&lt;&gt;35,Anmeldung!$D$21&lt;&gt;"",Anmeldung!$G$21&lt;&gt;Anmeldung!$G$42,(Anmeldung!$B$21&amp;": "&amp;Anmeldung!$D$21&amp;", "&amp;Anmeldung!$E$21&amp;" / "&amp;Anmeldung!$G$21&amp;" / "&amp;Anmeldung!$J$21)&lt;&gt;Anmeldung!$S$42),Anmeldung!$B$21&amp;": "&amp;Anmeldung!$D$21&amp;", "&amp;Anmeldung!$E$21&amp;" / "&amp;Anmeldung!$G$21&amp;" / "&amp;Anmeldung!$J$21,"")</f>
        <v/>
      </c>
      <c r="GO8" t="str">
        <f>IF(AND(14&lt;&gt;35,Anmeldung!$D$21&lt;&gt;"",(Anmeldung!$B$21&amp;": "&amp;Anmeldung!$D$21&amp;", "&amp;Anmeldung!$E$21&amp;" / "&amp;Anmeldung!$G$21&amp;" / "&amp;Anmeldung!$J$21)&lt;&gt;Anmeldung!$R$42),Anmeldung!$B$21&amp;": "&amp;Anmeldung!$D$21&amp;", "&amp;Anmeldung!$E$21&amp;" / "&amp;Anmeldung!$G$21&amp;" / "&amp;Anmeldung!$J$21,"")</f>
        <v/>
      </c>
      <c r="GP8" t="str">
        <f>IF(AND(13&lt;&gt;34,Anmeldung!$D$21&lt;&gt;"",Anmeldung!$U$21="Ja",Anmeldung!$G$21=Anmeldung!$G$42,Anmeldung!$J$21=Anmeldung!$J$42),Anmeldung!$B$21&amp;": "&amp;Anmeldung!$D$21&amp;", "&amp;Anmeldung!$E$21&amp;" / "&amp;Anmeldung!$G$21&amp;" / "&amp;Anmeldung!$J$21,"")</f>
        <v/>
      </c>
      <c r="GS8" t="str">
        <f>IF(AND(14&lt;&gt;36,Anmeldung!$D$21&lt;&gt;"",Anmeldung!$G$21=Anmeldung!$G$43,Anmeldung!$J$21=Anmeldung!$J$43),Anmeldung!$B$21&amp;": "&amp;Anmeldung!$D$21&amp;", "&amp;Anmeldung!$E$21&amp;" / "&amp;Anmeldung!$G$21&amp;" / "&amp;Anmeldung!$J$21,"")</f>
        <v/>
      </c>
      <c r="GT8" t="str">
        <f>IF(AND(14&lt;&gt;36,Anmeldung!$D$21&lt;&gt;"",Anmeldung!$G$21=Anmeldung!$G$43,Anmeldung!$J$21=Anmeldung!$J$43,(Anmeldung!$B$21&amp;": "&amp;Anmeldung!$D$21&amp;", "&amp;Anmeldung!$E$21&amp;" / "&amp;Anmeldung!$G$21&amp;" / "&amp;Anmeldung!$J$21)&lt;&gt;Anmeldung!$P$43),Anmeldung!$B$21&amp;": "&amp;Anmeldung!$D$21&amp;", "&amp;Anmeldung!$E$21&amp;" / "&amp;Anmeldung!$G$21&amp;" / "&amp;Anmeldung!$J$21,"")</f>
        <v/>
      </c>
      <c r="GU8" t="str">
        <f>IF(AND(14&lt;&gt;36,Anmeldung!$D$21&lt;&gt;"",Anmeldung!$G$21=Anmeldung!$G$43,Anmeldung!$J$21=Anmeldung!$J$43,(Anmeldung!$B$21&amp;": "&amp;Anmeldung!$D$21&amp;", "&amp;Anmeldung!$E$21&amp;" / "&amp;Anmeldung!$G$21&amp;" / "&amp;Anmeldung!$J$21)&lt;&gt;Anmeldung!$O$43),Anmeldung!$B$21&amp;": "&amp;Anmeldung!$D$21&amp;", "&amp;Anmeldung!$E$21&amp;" / "&amp;Anmeldung!$G$21&amp;" / "&amp;Anmeldung!$J$21,"")</f>
        <v/>
      </c>
      <c r="GV8" t="str">
        <f>IF(AND(14&lt;&gt;36,Anmeldung!$D$21&lt;&gt;"",Anmeldung!$G$21&lt;&gt;Anmeldung!$G$43,(Anmeldung!$B$21&amp;": "&amp;Anmeldung!$D$21&amp;", "&amp;Anmeldung!$E$21&amp;" / "&amp;Anmeldung!$G$21&amp;" / "&amp;Anmeldung!$J$21)&lt;&gt;Anmeldung!$S$43),Anmeldung!$B$21&amp;": "&amp;Anmeldung!$D$21&amp;", "&amp;Anmeldung!$E$21&amp;" / "&amp;Anmeldung!$G$21&amp;" / "&amp;Anmeldung!$J$21,"")</f>
        <v/>
      </c>
      <c r="GW8" t="str">
        <f>IF(AND(14&lt;&gt;36,Anmeldung!$D$21&lt;&gt;"",(Anmeldung!$B$21&amp;": "&amp;Anmeldung!$D$21&amp;", "&amp;Anmeldung!$E$21&amp;" / "&amp;Anmeldung!$G$21&amp;" / "&amp;Anmeldung!$J$21)&lt;&gt;Anmeldung!$R$43),Anmeldung!$B$21&amp;": "&amp;Anmeldung!$D$21&amp;", "&amp;Anmeldung!$E$21&amp;" / "&amp;Anmeldung!$G$21&amp;" / "&amp;Anmeldung!$J$21,"")</f>
        <v/>
      </c>
      <c r="GX8" t="str">
        <f>IF(AND(13&lt;&gt;35,Anmeldung!$D$21&lt;&gt;"",Anmeldung!$U$21="Ja",Anmeldung!$G$21=Anmeldung!$G$43,Anmeldung!$J$21=Anmeldung!$J$43),Anmeldung!$B$21&amp;": "&amp;Anmeldung!$D$21&amp;", "&amp;Anmeldung!$E$21&amp;" / "&amp;Anmeldung!$G$21&amp;" / "&amp;Anmeldung!$J$21,"")</f>
        <v/>
      </c>
      <c r="HA8" t="str">
        <f>IF(AND(14&lt;&gt;37,Anmeldung!$D$21&lt;&gt;"",Anmeldung!$G$21=Anmeldung!$G$44,Anmeldung!$J$21=Anmeldung!$J$44),Anmeldung!$B$21&amp;": "&amp;Anmeldung!$D$21&amp;", "&amp;Anmeldung!$E$21&amp;" / "&amp;Anmeldung!$G$21&amp;" / "&amp;Anmeldung!$J$21,"")</f>
        <v/>
      </c>
      <c r="HB8" t="str">
        <f>IF(AND(14&lt;&gt;37,Anmeldung!$D$21&lt;&gt;"",Anmeldung!$G$21=Anmeldung!$G$44,Anmeldung!$J$21=Anmeldung!$J$44,(Anmeldung!$B$21&amp;": "&amp;Anmeldung!$D$21&amp;", "&amp;Anmeldung!$E$21&amp;" / "&amp;Anmeldung!$G$21&amp;" / "&amp;Anmeldung!$J$21)&lt;&gt;Anmeldung!$P$44),Anmeldung!$B$21&amp;": "&amp;Anmeldung!$D$21&amp;", "&amp;Anmeldung!$E$21&amp;" / "&amp;Anmeldung!$G$21&amp;" / "&amp;Anmeldung!$J$21,"")</f>
        <v/>
      </c>
      <c r="HC8" t="str">
        <f>IF(AND(14&lt;&gt;37,Anmeldung!$D$21&lt;&gt;"",Anmeldung!$G$21=Anmeldung!$G$44,Anmeldung!$J$21=Anmeldung!$J$44,(Anmeldung!$B$21&amp;": "&amp;Anmeldung!$D$21&amp;", "&amp;Anmeldung!$E$21&amp;" / "&amp;Anmeldung!$G$21&amp;" / "&amp;Anmeldung!$J$21)&lt;&gt;Anmeldung!$O$44),Anmeldung!$B$21&amp;": "&amp;Anmeldung!$D$21&amp;", "&amp;Anmeldung!$E$21&amp;" / "&amp;Anmeldung!$G$21&amp;" / "&amp;Anmeldung!$J$21,"")</f>
        <v/>
      </c>
      <c r="HD8" t="str">
        <f>IF(AND(14&lt;&gt;37,Anmeldung!$D$21&lt;&gt;"",Anmeldung!$G$21&lt;&gt;Anmeldung!$G$44,(Anmeldung!$B$21&amp;": "&amp;Anmeldung!$D$21&amp;", "&amp;Anmeldung!$E$21&amp;" / "&amp;Anmeldung!$G$21&amp;" / "&amp;Anmeldung!$J$21)&lt;&gt;Anmeldung!$S$44),Anmeldung!$B$21&amp;": "&amp;Anmeldung!$D$21&amp;", "&amp;Anmeldung!$E$21&amp;" / "&amp;Anmeldung!$G$21&amp;" / "&amp;Anmeldung!$J$21,"")</f>
        <v/>
      </c>
      <c r="HE8" t="str">
        <f>IF(AND(14&lt;&gt;37,Anmeldung!$D$21&lt;&gt;"",(Anmeldung!$B$21&amp;": "&amp;Anmeldung!$D$21&amp;", "&amp;Anmeldung!$E$21&amp;" / "&amp;Anmeldung!$G$21&amp;" / "&amp;Anmeldung!$J$21)&lt;&gt;Anmeldung!$R$44),Anmeldung!$B$21&amp;": "&amp;Anmeldung!$D$21&amp;", "&amp;Anmeldung!$E$21&amp;" / "&amp;Anmeldung!$G$21&amp;" / "&amp;Anmeldung!$J$21,"")</f>
        <v/>
      </c>
      <c r="HF8" t="str">
        <f>IF(AND(13&lt;&gt;36,Anmeldung!$D$21&lt;&gt;"",Anmeldung!$U$21="Ja",Anmeldung!$G$21=Anmeldung!$G$44,Anmeldung!$J$21=Anmeldung!$J$44),Anmeldung!$B$21&amp;": "&amp;Anmeldung!$D$21&amp;", "&amp;Anmeldung!$E$21&amp;" / "&amp;Anmeldung!$G$21&amp;" / "&amp;Anmeldung!$J$21,"")</f>
        <v/>
      </c>
      <c r="HI8" t="str">
        <f>IF(AND(14&lt;&gt;38,Anmeldung!$D$21&lt;&gt;"",Anmeldung!$G$21=Anmeldung!$G$45,Anmeldung!$J$21=Anmeldung!$J$45),Anmeldung!$B$21&amp;": "&amp;Anmeldung!$D$21&amp;", "&amp;Anmeldung!$E$21&amp;" / "&amp;Anmeldung!$G$21&amp;" / "&amp;Anmeldung!$J$21,"")</f>
        <v/>
      </c>
      <c r="HJ8" t="str">
        <f>IF(AND(14&lt;&gt;38,Anmeldung!$D$21&lt;&gt;"",Anmeldung!$G$21=Anmeldung!$G$45,Anmeldung!$J$21=Anmeldung!$J$45,(Anmeldung!$B$21&amp;": "&amp;Anmeldung!$D$21&amp;", "&amp;Anmeldung!$E$21&amp;" / "&amp;Anmeldung!$G$21&amp;" / "&amp;Anmeldung!$J$21)&lt;&gt;Anmeldung!$P$45),Anmeldung!$B$21&amp;": "&amp;Anmeldung!$D$21&amp;", "&amp;Anmeldung!$E$21&amp;" / "&amp;Anmeldung!$G$21&amp;" / "&amp;Anmeldung!$J$21,"")</f>
        <v/>
      </c>
      <c r="HK8" t="str">
        <f>IF(AND(14&lt;&gt;38,Anmeldung!$D$21&lt;&gt;"",Anmeldung!$G$21=Anmeldung!$G$45,Anmeldung!$J$21=Anmeldung!$J$45,(Anmeldung!$B$21&amp;": "&amp;Anmeldung!$D$21&amp;", "&amp;Anmeldung!$E$21&amp;" / "&amp;Anmeldung!$G$21&amp;" / "&amp;Anmeldung!$J$21)&lt;&gt;Anmeldung!$O$45),Anmeldung!$B$21&amp;": "&amp;Anmeldung!$D$21&amp;", "&amp;Anmeldung!$E$21&amp;" / "&amp;Anmeldung!$G$21&amp;" / "&amp;Anmeldung!$J$21,"")</f>
        <v/>
      </c>
      <c r="HL8" t="str">
        <f>IF(AND(14&lt;&gt;38,Anmeldung!$D$21&lt;&gt;"",Anmeldung!$G$21&lt;&gt;Anmeldung!$G$45,(Anmeldung!$B$21&amp;": "&amp;Anmeldung!$D$21&amp;", "&amp;Anmeldung!$E$21&amp;" / "&amp;Anmeldung!$G$21&amp;" / "&amp;Anmeldung!$J$21)&lt;&gt;Anmeldung!$S$45),Anmeldung!$B$21&amp;": "&amp;Anmeldung!$D$21&amp;", "&amp;Anmeldung!$E$21&amp;" / "&amp;Anmeldung!$G$21&amp;" / "&amp;Anmeldung!$J$21,"")</f>
        <v/>
      </c>
      <c r="HM8" t="str">
        <f>IF(AND(14&lt;&gt;38,Anmeldung!$D$21&lt;&gt;"",(Anmeldung!$B$21&amp;": "&amp;Anmeldung!$D$21&amp;", "&amp;Anmeldung!$E$21&amp;" / "&amp;Anmeldung!$G$21&amp;" / "&amp;Anmeldung!$J$21)&lt;&gt;Anmeldung!$R$45),Anmeldung!$B$21&amp;": "&amp;Anmeldung!$D$21&amp;", "&amp;Anmeldung!$E$21&amp;" / "&amp;Anmeldung!$G$21&amp;" / "&amp;Anmeldung!$J$21,"")</f>
        <v/>
      </c>
      <c r="HN8" t="str">
        <f>IF(AND(13&lt;&gt;37,Anmeldung!$D$21&lt;&gt;"",Anmeldung!$U$21="Ja",Anmeldung!$G$21=Anmeldung!$G$45,Anmeldung!$J$21=Anmeldung!$J$45),Anmeldung!$B$21&amp;": "&amp;Anmeldung!$D$21&amp;", "&amp;Anmeldung!$E$21&amp;" / "&amp;Anmeldung!$G$21&amp;" / "&amp;Anmeldung!$J$21,"")</f>
        <v/>
      </c>
      <c r="HQ8" t="str">
        <f>IF(AND(14&lt;&gt;39,Anmeldung!$D$21&lt;&gt;"",Anmeldung!$G$21=Anmeldung!$G$46,Anmeldung!$J$21=Anmeldung!$J$46),Anmeldung!$B$21&amp;": "&amp;Anmeldung!$D$21&amp;", "&amp;Anmeldung!$E$21&amp;" / "&amp;Anmeldung!$G$21&amp;" / "&amp;Anmeldung!$J$21,"")</f>
        <v/>
      </c>
      <c r="HR8" t="str">
        <f>IF(AND(14&lt;&gt;39,Anmeldung!$D$21&lt;&gt;"",Anmeldung!$G$21=Anmeldung!$G$46,Anmeldung!$J$21=Anmeldung!$J$46,(Anmeldung!$B$21&amp;": "&amp;Anmeldung!$D$21&amp;", "&amp;Anmeldung!$E$21&amp;" / "&amp;Anmeldung!$G$21&amp;" / "&amp;Anmeldung!$J$21)&lt;&gt;Anmeldung!$P$46),Anmeldung!$B$21&amp;": "&amp;Anmeldung!$D$21&amp;", "&amp;Anmeldung!$E$21&amp;" / "&amp;Anmeldung!$G$21&amp;" / "&amp;Anmeldung!$J$21,"")</f>
        <v/>
      </c>
      <c r="HS8" t="str">
        <f>IF(AND(14&lt;&gt;39,Anmeldung!$D$21&lt;&gt;"",Anmeldung!$G$21=Anmeldung!$G$46,Anmeldung!$J$21=Anmeldung!$J$46,(Anmeldung!$B$21&amp;": "&amp;Anmeldung!$D$21&amp;", "&amp;Anmeldung!$E$21&amp;" / "&amp;Anmeldung!$G$21&amp;" / "&amp;Anmeldung!$J$21)&lt;&gt;Anmeldung!$O$46),Anmeldung!$B$21&amp;": "&amp;Anmeldung!$D$21&amp;", "&amp;Anmeldung!$E$21&amp;" / "&amp;Anmeldung!$G$21&amp;" / "&amp;Anmeldung!$J$21,"")</f>
        <v/>
      </c>
      <c r="HT8" t="str">
        <f>IF(AND(14&lt;&gt;39,Anmeldung!$D$21&lt;&gt;"",Anmeldung!$G$21&lt;&gt;Anmeldung!$G$46,(Anmeldung!$B$21&amp;": "&amp;Anmeldung!$D$21&amp;", "&amp;Anmeldung!$E$21&amp;" / "&amp;Anmeldung!$G$21&amp;" / "&amp;Anmeldung!$J$21)&lt;&gt;Anmeldung!$S$46),Anmeldung!$B$21&amp;": "&amp;Anmeldung!$D$21&amp;", "&amp;Anmeldung!$E$21&amp;" / "&amp;Anmeldung!$G$21&amp;" / "&amp;Anmeldung!$J$21,"")</f>
        <v/>
      </c>
      <c r="HU8" t="str">
        <f>IF(AND(14&lt;&gt;39,Anmeldung!$D$21&lt;&gt;"",(Anmeldung!$B$21&amp;": "&amp;Anmeldung!$D$21&amp;", "&amp;Anmeldung!$E$21&amp;" / "&amp;Anmeldung!$G$21&amp;" / "&amp;Anmeldung!$J$21)&lt;&gt;Anmeldung!$R$46),Anmeldung!$B$21&amp;": "&amp;Anmeldung!$D$21&amp;", "&amp;Anmeldung!$E$21&amp;" / "&amp;Anmeldung!$G$21&amp;" / "&amp;Anmeldung!$J$21,"")</f>
        <v/>
      </c>
      <c r="HV8" t="str">
        <f>IF(AND(13&lt;&gt;38,Anmeldung!$D$21&lt;&gt;"",Anmeldung!$U$21="Ja",Anmeldung!$G$21=Anmeldung!$G$46,Anmeldung!$J$21=Anmeldung!$J$46),Anmeldung!$B$21&amp;": "&amp;Anmeldung!$D$21&amp;", "&amp;Anmeldung!$E$21&amp;" / "&amp;Anmeldung!$G$21&amp;" / "&amp;Anmeldung!$J$21,"")</f>
        <v/>
      </c>
      <c r="HY8" t="str">
        <f>IF(AND(14&lt;&gt;40,Anmeldung!$D$21&lt;&gt;"",Anmeldung!$G$21=Anmeldung!$G$47,Anmeldung!$J$21=Anmeldung!$J$47),Anmeldung!$B$21&amp;": "&amp;Anmeldung!$D$21&amp;", "&amp;Anmeldung!$E$21&amp;" / "&amp;Anmeldung!$G$21&amp;" / "&amp;Anmeldung!$J$21,"")</f>
        <v/>
      </c>
      <c r="HZ8" t="str">
        <f>IF(AND(14&lt;&gt;40,Anmeldung!$D$21&lt;&gt;"",Anmeldung!$G$21=Anmeldung!$G$47,Anmeldung!$J$21=Anmeldung!$J$47,(Anmeldung!$B$21&amp;": "&amp;Anmeldung!$D$21&amp;", "&amp;Anmeldung!$E$21&amp;" / "&amp;Anmeldung!$G$21&amp;" / "&amp;Anmeldung!$J$21)&lt;&gt;Anmeldung!$P$47),Anmeldung!$B$21&amp;": "&amp;Anmeldung!$D$21&amp;", "&amp;Anmeldung!$E$21&amp;" / "&amp;Anmeldung!$G$21&amp;" / "&amp;Anmeldung!$J$21,"")</f>
        <v/>
      </c>
      <c r="IA8" t="str">
        <f>IF(AND(14&lt;&gt;40,Anmeldung!$D$21&lt;&gt;"",Anmeldung!$G$21=Anmeldung!$G$47,Anmeldung!$J$21=Anmeldung!$J$47,(Anmeldung!$B$21&amp;": "&amp;Anmeldung!$D$21&amp;", "&amp;Anmeldung!$E$21&amp;" / "&amp;Anmeldung!$G$21&amp;" / "&amp;Anmeldung!$J$21)&lt;&gt;Anmeldung!$O$47),Anmeldung!$B$21&amp;": "&amp;Anmeldung!$D$21&amp;", "&amp;Anmeldung!$E$21&amp;" / "&amp;Anmeldung!$G$21&amp;" / "&amp;Anmeldung!$J$21,"")</f>
        <v/>
      </c>
      <c r="IB8" t="str">
        <f>IF(AND(14&lt;&gt;40,Anmeldung!$D$21&lt;&gt;"",Anmeldung!$G$21&lt;&gt;Anmeldung!$G$47,(Anmeldung!$B$21&amp;": "&amp;Anmeldung!$D$21&amp;", "&amp;Anmeldung!$E$21&amp;" / "&amp;Anmeldung!$G$21&amp;" / "&amp;Anmeldung!$J$21)&lt;&gt;Anmeldung!$S$47),Anmeldung!$B$21&amp;": "&amp;Anmeldung!$D$21&amp;", "&amp;Anmeldung!$E$21&amp;" / "&amp;Anmeldung!$G$21&amp;" / "&amp;Anmeldung!$J$21,"")</f>
        <v/>
      </c>
      <c r="IC8" t="str">
        <f>IF(AND(14&lt;&gt;40,Anmeldung!$D$21&lt;&gt;"",(Anmeldung!$B$21&amp;": "&amp;Anmeldung!$D$21&amp;", "&amp;Anmeldung!$E$21&amp;" / "&amp;Anmeldung!$G$21&amp;" / "&amp;Anmeldung!$J$21)&lt;&gt;Anmeldung!$R$47),Anmeldung!$B$21&amp;": "&amp;Anmeldung!$D$21&amp;", "&amp;Anmeldung!$E$21&amp;" / "&amp;Anmeldung!$G$21&amp;" / "&amp;Anmeldung!$J$21,"")</f>
        <v/>
      </c>
      <c r="ID8" t="str">
        <f>IF(AND(13&lt;&gt;39,Anmeldung!$D$21&lt;&gt;"",Anmeldung!$U$21="Ja",Anmeldung!$G$21=Anmeldung!$G$47,Anmeldung!$J$21=Anmeldung!$J$47),Anmeldung!$B$21&amp;": "&amp;Anmeldung!$D$21&amp;", "&amp;Anmeldung!$E$21&amp;" / "&amp;Anmeldung!$G$21&amp;" / "&amp;Anmeldung!$J$21,"")</f>
        <v/>
      </c>
    </row>
    <row r="9" spans="1:238" ht="14.25" customHeight="1" x14ac:dyDescent="0.3">
      <c r="A9" t="str">
        <f>IF(AND(15&lt;&gt;11,Anmeldung!$D$22&lt;&gt;"",Anmeldung!$G$22=Anmeldung!$G$18,Anmeldung!$J$22=Anmeldung!$J$18),Anmeldung!$B$22&amp;": "&amp;Anmeldung!$D$22&amp;", "&amp;Anmeldung!$E$22&amp;" / "&amp;Anmeldung!$G$22&amp;" / "&amp;Anmeldung!$J$22,"")</f>
        <v/>
      </c>
      <c r="B9" t="str">
        <f>IF(AND(15&lt;&gt;11,Anmeldung!$D$22&lt;&gt;"",Anmeldung!$G$22=Anmeldung!$G$18,Anmeldung!$J$22=Anmeldung!$J$18,(Anmeldung!$B$22&amp;": "&amp;Anmeldung!$D$22&amp;", "&amp;Anmeldung!$E$22&amp;" / "&amp;Anmeldung!$G$22&amp;" / "&amp;Anmeldung!$J$22)&lt;&gt;Anmeldung!$P$18),Anmeldung!$B$22&amp;": "&amp;Anmeldung!$D$22&amp;", "&amp;Anmeldung!$E$22&amp;" / "&amp;Anmeldung!$G$22&amp;" / "&amp;Anmeldung!$J$22,"")</f>
        <v/>
      </c>
      <c r="C9" t="str">
        <f>IF(AND(15&lt;&gt;11,Anmeldung!$D$22&lt;&gt;"",Anmeldung!$G$22=Anmeldung!$G$18,Anmeldung!$J$22=Anmeldung!$J$18,(Anmeldung!$B$22&amp;": "&amp;Anmeldung!$D$22&amp;", "&amp;Anmeldung!$E$22&amp;" / "&amp;Anmeldung!$G$22&amp;" / "&amp;Anmeldung!$J$22)&lt;&gt;Anmeldung!$O$18),Anmeldung!$B$22&amp;": "&amp;Anmeldung!$D$22&amp;", "&amp;Anmeldung!$E$22&amp;" / "&amp;Anmeldung!$G$22&amp;" / "&amp;Anmeldung!$J$22,"")</f>
        <v/>
      </c>
      <c r="D9" t="str">
        <f>IF(AND(15&lt;&gt;11,Anmeldung!$D$22&lt;&gt;"",Anmeldung!$G$22&lt;&gt;Anmeldung!$G$18,(Anmeldung!$B$22&amp;": "&amp;Anmeldung!$D$22&amp;", "&amp;Anmeldung!$E$22&amp;" / "&amp;Anmeldung!$G$22&amp;" / "&amp;Anmeldung!$J$22)&lt;&gt;Anmeldung!$S$18),Anmeldung!$B$22&amp;": "&amp;Anmeldung!$D$22&amp;", "&amp;Anmeldung!$E$22&amp;" / "&amp;Anmeldung!$G$22&amp;" / "&amp;Anmeldung!$J$22,"")</f>
        <v/>
      </c>
      <c r="E9" t="str">
        <f>IF(AND(15&lt;&gt;11,Anmeldung!$D$22&lt;&gt;"",(Anmeldung!$B$22&amp;": "&amp;Anmeldung!$D$22&amp;", "&amp;Anmeldung!$E$22&amp;" / "&amp;Anmeldung!$G$22&amp;" / "&amp;Anmeldung!$J$22)&lt;&gt;Anmeldung!$R$18),Anmeldung!$B$22&amp;": "&amp;Anmeldung!$D$22&amp;", "&amp;Anmeldung!$E$22&amp;" / "&amp;Anmeldung!$G$22&amp;" / "&amp;Anmeldung!$J$22,"")</f>
        <v/>
      </c>
      <c r="F9" t="str">
        <f>IF(AND(14&lt;&gt;10,Anmeldung!$D$22&lt;&gt;"",Anmeldung!$U$22="Ja",Anmeldung!$G$22=Anmeldung!$G$18,Anmeldung!$J$22=Anmeldung!$J$18),Anmeldung!$B$22&amp;": "&amp;Anmeldung!$D$22&amp;", "&amp;Anmeldung!$E$22&amp;" / "&amp;Anmeldung!$G$22&amp;" / "&amp;Anmeldung!$J$22,"")</f>
        <v/>
      </c>
      <c r="I9" t="str">
        <f>IF(AND(15&lt;&gt;12,Anmeldung!$D$22&lt;&gt;"",Anmeldung!$G$22=Anmeldung!$G$19,Anmeldung!$J$22=Anmeldung!$J$19),Anmeldung!$B$22&amp;": "&amp;Anmeldung!$D$22&amp;", "&amp;Anmeldung!$E$22&amp;" / "&amp;Anmeldung!$G$22&amp;" / "&amp;Anmeldung!$J$22,"")</f>
        <v/>
      </c>
      <c r="J9" t="str">
        <f>IF(AND(15&lt;&gt;12,Anmeldung!$D$22&lt;&gt;"",Anmeldung!$G$22=Anmeldung!$G$19,Anmeldung!$J$22=Anmeldung!$J$19,(Anmeldung!$B$22&amp;": "&amp;Anmeldung!$D$22&amp;", "&amp;Anmeldung!$E$22&amp;" / "&amp;Anmeldung!$G$22&amp;" / "&amp;Anmeldung!$J$22)&lt;&gt;Anmeldung!$P$19),Anmeldung!$B$22&amp;": "&amp;Anmeldung!$D$22&amp;", "&amp;Anmeldung!$E$22&amp;" / "&amp;Anmeldung!$G$22&amp;" / "&amp;Anmeldung!$J$22,"")</f>
        <v/>
      </c>
      <c r="K9" t="str">
        <f>IF(AND(15&lt;&gt;12,Anmeldung!$D$22&lt;&gt;"",Anmeldung!$G$22=Anmeldung!$G$19,Anmeldung!$J$22=Anmeldung!$J$19,(Anmeldung!$B$22&amp;": "&amp;Anmeldung!$D$22&amp;", "&amp;Anmeldung!$E$22&amp;" / "&amp;Anmeldung!$G$22&amp;" / "&amp;Anmeldung!$J$22)&lt;&gt;Anmeldung!$O$19),Anmeldung!$B$22&amp;": "&amp;Anmeldung!$D$22&amp;", "&amp;Anmeldung!$E$22&amp;" / "&amp;Anmeldung!$G$22&amp;" / "&amp;Anmeldung!$J$22,"")</f>
        <v/>
      </c>
      <c r="L9" t="str">
        <f>IF(AND(15&lt;&gt;12,Anmeldung!$D$22&lt;&gt;"",Anmeldung!$G$22&lt;&gt;Anmeldung!$G$19,(Anmeldung!$B$22&amp;": "&amp;Anmeldung!$D$22&amp;", "&amp;Anmeldung!$E$22&amp;" / "&amp;Anmeldung!$G$22&amp;" / "&amp;Anmeldung!$J$22)&lt;&gt;Anmeldung!$S$19),Anmeldung!$B$22&amp;": "&amp;Anmeldung!$D$22&amp;", "&amp;Anmeldung!$E$22&amp;" / "&amp;Anmeldung!$G$22&amp;" / "&amp;Anmeldung!$J$22,"")</f>
        <v/>
      </c>
      <c r="M9" t="str">
        <f>IF(AND(15&lt;&gt;12,Anmeldung!$D$22&lt;&gt;"",(Anmeldung!$B$22&amp;": "&amp;Anmeldung!$D$22&amp;", "&amp;Anmeldung!$E$22&amp;" / "&amp;Anmeldung!$G$22&amp;" / "&amp;Anmeldung!$J$22)&lt;&gt;Anmeldung!$R$19),Anmeldung!$B$22&amp;": "&amp;Anmeldung!$D$22&amp;", "&amp;Anmeldung!$E$22&amp;" / "&amp;Anmeldung!$G$22&amp;" / "&amp;Anmeldung!$J$22,"")</f>
        <v/>
      </c>
      <c r="N9" t="str">
        <f>IF(AND(14&lt;&gt;11,Anmeldung!$D$22&lt;&gt;"",Anmeldung!$U$22="Ja",Anmeldung!$G$22=Anmeldung!$G$19,Anmeldung!$J$22=Anmeldung!$J$19),Anmeldung!$B$22&amp;": "&amp;Anmeldung!$D$22&amp;", "&amp;Anmeldung!$E$22&amp;" / "&amp;Anmeldung!$G$22&amp;" / "&amp;Anmeldung!$J$22,"")</f>
        <v/>
      </c>
      <c r="Q9" t="str">
        <f>IF(AND(15&lt;&gt;13,Anmeldung!$D$22&lt;&gt;"",Anmeldung!$G$22=Anmeldung!$G$20,Anmeldung!$J$22=Anmeldung!$J$20),Anmeldung!$B$22&amp;": "&amp;Anmeldung!$D$22&amp;", "&amp;Anmeldung!$E$22&amp;" / "&amp;Anmeldung!$G$22&amp;" / "&amp;Anmeldung!$J$22,"")</f>
        <v/>
      </c>
      <c r="R9" t="str">
        <f>IF(AND(15&lt;&gt;13,Anmeldung!$D$22&lt;&gt;"",Anmeldung!$G$22=Anmeldung!$G$20,Anmeldung!$J$22=Anmeldung!$J$20,(Anmeldung!$B$22&amp;": "&amp;Anmeldung!$D$22&amp;", "&amp;Anmeldung!$E$22&amp;" / "&amp;Anmeldung!$G$22&amp;" / "&amp;Anmeldung!$J$22)&lt;&gt;Anmeldung!$P$20),Anmeldung!$B$22&amp;": "&amp;Anmeldung!$D$22&amp;", "&amp;Anmeldung!$E$22&amp;" / "&amp;Anmeldung!$G$22&amp;" / "&amp;Anmeldung!$J$22,"")</f>
        <v/>
      </c>
      <c r="S9" t="str">
        <f>IF(AND(15&lt;&gt;13,Anmeldung!$D$22&lt;&gt;"",Anmeldung!$G$22=Anmeldung!$G$20,Anmeldung!$J$22=Anmeldung!$J$20,(Anmeldung!$B$22&amp;": "&amp;Anmeldung!$D$22&amp;", "&amp;Anmeldung!$E$22&amp;" / "&amp;Anmeldung!$G$22&amp;" / "&amp;Anmeldung!$J$22)&lt;&gt;Anmeldung!$O$20),Anmeldung!$B$22&amp;": "&amp;Anmeldung!$D$22&amp;", "&amp;Anmeldung!$E$22&amp;" / "&amp;Anmeldung!$G$22&amp;" / "&amp;Anmeldung!$J$22,"")</f>
        <v/>
      </c>
      <c r="T9" t="str">
        <f>IF(AND(15&lt;&gt;13,Anmeldung!$D$22&lt;&gt;"",Anmeldung!$G$22&lt;&gt;Anmeldung!$G$20,(Anmeldung!$B$22&amp;": "&amp;Anmeldung!$D$22&amp;", "&amp;Anmeldung!$E$22&amp;" / "&amp;Anmeldung!$G$22&amp;" / "&amp;Anmeldung!$J$22)&lt;&gt;Anmeldung!$S$20),Anmeldung!$B$22&amp;": "&amp;Anmeldung!$D$22&amp;", "&amp;Anmeldung!$E$22&amp;" / "&amp;Anmeldung!$G$22&amp;" / "&amp;Anmeldung!$J$22,"")</f>
        <v/>
      </c>
      <c r="U9" t="str">
        <f>IF(AND(15&lt;&gt;13,Anmeldung!$D$22&lt;&gt;"",(Anmeldung!$B$22&amp;": "&amp;Anmeldung!$D$22&amp;", "&amp;Anmeldung!$E$22&amp;" / "&amp;Anmeldung!$G$22&amp;" / "&amp;Anmeldung!$J$22)&lt;&gt;Anmeldung!$R$20),Anmeldung!$B$22&amp;": "&amp;Anmeldung!$D$22&amp;", "&amp;Anmeldung!$E$22&amp;" / "&amp;Anmeldung!$G$22&amp;" / "&amp;Anmeldung!$J$22,"")</f>
        <v/>
      </c>
      <c r="V9" t="str">
        <f>IF(AND(14&lt;&gt;12,Anmeldung!$D$22&lt;&gt;"",Anmeldung!$U$22="Ja",Anmeldung!$G$22=Anmeldung!$G$20,Anmeldung!$J$22=Anmeldung!$J$20),Anmeldung!$B$22&amp;": "&amp;Anmeldung!$D$22&amp;", "&amp;Anmeldung!$E$22&amp;" / "&amp;Anmeldung!$G$22&amp;" / "&amp;Anmeldung!$J$22,"")</f>
        <v/>
      </c>
      <c r="Y9" t="str">
        <f>IF(AND(15&lt;&gt;14,Anmeldung!$D$22&lt;&gt;"",Anmeldung!$G$22=Anmeldung!$G$21,Anmeldung!$J$22=Anmeldung!$J$21),Anmeldung!$B$22&amp;": "&amp;Anmeldung!$D$22&amp;", "&amp;Anmeldung!$E$22&amp;" / "&amp;Anmeldung!$G$22&amp;" / "&amp;Anmeldung!$J$22,"")</f>
        <v/>
      </c>
      <c r="Z9" t="str">
        <f>IF(AND(15&lt;&gt;14,Anmeldung!$D$22&lt;&gt;"",Anmeldung!$G$22=Anmeldung!$G$21,Anmeldung!$J$22=Anmeldung!$J$21,(Anmeldung!$B$22&amp;": "&amp;Anmeldung!$D$22&amp;", "&amp;Anmeldung!$E$22&amp;" / "&amp;Anmeldung!$G$22&amp;" / "&amp;Anmeldung!$J$22)&lt;&gt;Anmeldung!$P$21),Anmeldung!$B$22&amp;": "&amp;Anmeldung!$D$22&amp;", "&amp;Anmeldung!$E$22&amp;" / "&amp;Anmeldung!$G$22&amp;" / "&amp;Anmeldung!$J$22,"")</f>
        <v/>
      </c>
      <c r="AA9" t="str">
        <f>IF(AND(15&lt;&gt;14,Anmeldung!$D$22&lt;&gt;"",Anmeldung!$G$22=Anmeldung!$G$21,Anmeldung!$J$22=Anmeldung!$J$21,(Anmeldung!$B$22&amp;": "&amp;Anmeldung!$D$22&amp;", "&amp;Anmeldung!$E$22&amp;" / "&amp;Anmeldung!$G$22&amp;" / "&amp;Anmeldung!$J$22)&lt;&gt;Anmeldung!$O$21),Anmeldung!$B$22&amp;": "&amp;Anmeldung!$D$22&amp;", "&amp;Anmeldung!$E$22&amp;" / "&amp;Anmeldung!$G$22&amp;" / "&amp;Anmeldung!$J$22,"")</f>
        <v/>
      </c>
      <c r="AB9" t="str">
        <f>IF(AND(15&lt;&gt;14,Anmeldung!$D$22&lt;&gt;"",Anmeldung!$G$22&lt;&gt;Anmeldung!$G$21,(Anmeldung!$B$22&amp;": "&amp;Anmeldung!$D$22&amp;", "&amp;Anmeldung!$E$22&amp;" / "&amp;Anmeldung!$G$22&amp;" / "&amp;Anmeldung!$J$22)&lt;&gt;Anmeldung!$S$21),Anmeldung!$B$22&amp;": "&amp;Anmeldung!$D$22&amp;", "&amp;Anmeldung!$E$22&amp;" / "&amp;Anmeldung!$G$22&amp;" / "&amp;Anmeldung!$J$22,"")</f>
        <v/>
      </c>
      <c r="AC9" t="str">
        <f>IF(AND(15&lt;&gt;14,Anmeldung!$D$22&lt;&gt;"",(Anmeldung!$B$22&amp;": "&amp;Anmeldung!$D$22&amp;", "&amp;Anmeldung!$E$22&amp;" / "&amp;Anmeldung!$G$22&amp;" / "&amp;Anmeldung!$J$22)&lt;&gt;Anmeldung!$R$21),Anmeldung!$B$22&amp;": "&amp;Anmeldung!$D$22&amp;", "&amp;Anmeldung!$E$22&amp;" / "&amp;Anmeldung!$G$22&amp;" / "&amp;Anmeldung!$J$22,"")</f>
        <v/>
      </c>
      <c r="AD9" t="str">
        <f>IF(AND(14&lt;&gt;13,Anmeldung!$D$22&lt;&gt;"",Anmeldung!$U$22="Ja",Anmeldung!$G$22=Anmeldung!$G$21,Anmeldung!$J$22=Anmeldung!$J$21),Anmeldung!$B$22&amp;": "&amp;Anmeldung!$D$22&amp;", "&amp;Anmeldung!$E$22&amp;" / "&amp;Anmeldung!$G$22&amp;" / "&amp;Anmeldung!$J$22,"")</f>
        <v/>
      </c>
      <c r="AG9" t="str">
        <f>IF(AND(15&lt;&gt;15,Anmeldung!$D$22&lt;&gt;"",Anmeldung!$G$22=Anmeldung!$G$22,Anmeldung!$J$22=Anmeldung!$J$22),Anmeldung!$B$22&amp;": "&amp;Anmeldung!$D$22&amp;", "&amp;Anmeldung!$E$22&amp;" / "&amp;Anmeldung!$G$22&amp;" / "&amp;Anmeldung!$J$22,"")</f>
        <v/>
      </c>
      <c r="AH9" t="str">
        <f>IF(AND(15&lt;&gt;15,Anmeldung!$D$22&lt;&gt;"",Anmeldung!$G$22=Anmeldung!$G$22,Anmeldung!$J$22=Anmeldung!$J$22,(Anmeldung!$B$22&amp;": "&amp;Anmeldung!$D$22&amp;", "&amp;Anmeldung!$E$22&amp;" / "&amp;Anmeldung!$G$22&amp;" / "&amp;Anmeldung!$J$22)&lt;&gt;Anmeldung!$P$22),Anmeldung!$B$22&amp;": "&amp;Anmeldung!$D$22&amp;", "&amp;Anmeldung!$E$22&amp;" / "&amp;Anmeldung!$G$22&amp;" / "&amp;Anmeldung!$J$22,"")</f>
        <v/>
      </c>
      <c r="AI9" t="str">
        <f>IF(AND(15&lt;&gt;15,Anmeldung!$D$22&lt;&gt;"",Anmeldung!$G$22=Anmeldung!$G$22,Anmeldung!$J$22=Anmeldung!$J$22,(Anmeldung!$B$22&amp;": "&amp;Anmeldung!$D$22&amp;", "&amp;Anmeldung!$E$22&amp;" / "&amp;Anmeldung!$G$22&amp;" / "&amp;Anmeldung!$J$22)&lt;&gt;Anmeldung!$O$22),Anmeldung!$B$22&amp;": "&amp;Anmeldung!$D$22&amp;", "&amp;Anmeldung!$E$22&amp;" / "&amp;Anmeldung!$G$22&amp;" / "&amp;Anmeldung!$J$22,"")</f>
        <v/>
      </c>
      <c r="AJ9" t="str">
        <f>IF(AND(15&lt;&gt;15,Anmeldung!$D$22&lt;&gt;"",Anmeldung!$G$22&lt;&gt;Anmeldung!$G$22,(Anmeldung!$B$22&amp;": "&amp;Anmeldung!$D$22&amp;", "&amp;Anmeldung!$E$22&amp;" / "&amp;Anmeldung!$G$22&amp;" / "&amp;Anmeldung!$J$22)&lt;&gt;Anmeldung!$S$22),Anmeldung!$B$22&amp;": "&amp;Anmeldung!$D$22&amp;", "&amp;Anmeldung!$E$22&amp;" / "&amp;Anmeldung!$G$22&amp;" / "&amp;Anmeldung!$J$22,"")</f>
        <v/>
      </c>
      <c r="AK9" t="str">
        <f>IF(AND(15&lt;&gt;15,Anmeldung!$D$22&lt;&gt;"",(Anmeldung!$B$22&amp;": "&amp;Anmeldung!$D$22&amp;", "&amp;Anmeldung!$E$22&amp;" / "&amp;Anmeldung!$G$22&amp;" / "&amp;Anmeldung!$J$22)&lt;&gt;Anmeldung!$R$22),Anmeldung!$B$22&amp;": "&amp;Anmeldung!$D$22&amp;", "&amp;Anmeldung!$E$22&amp;" / "&amp;Anmeldung!$G$22&amp;" / "&amp;Anmeldung!$J$22,"")</f>
        <v/>
      </c>
      <c r="AL9" t="str">
        <f>IF(AND(14&lt;&gt;14,Anmeldung!$D$22&lt;&gt;"",Anmeldung!$U$22="Ja",Anmeldung!$G$22=Anmeldung!$G$22,Anmeldung!$J$22=Anmeldung!$J$22),Anmeldung!$B$22&amp;": "&amp;Anmeldung!$D$22&amp;", "&amp;Anmeldung!$E$22&amp;" / "&amp;Anmeldung!$G$22&amp;" / "&amp;Anmeldung!$J$22,"")</f>
        <v/>
      </c>
      <c r="AO9" t="str">
        <f>IF(AND(15&lt;&gt;16,Anmeldung!$D$22&lt;&gt;"",Anmeldung!$G$22=Anmeldung!$G$23,Anmeldung!$J$22=Anmeldung!$J$23),Anmeldung!$B$22&amp;": "&amp;Anmeldung!$D$22&amp;", "&amp;Anmeldung!$E$22&amp;" / "&amp;Anmeldung!$G$22&amp;" / "&amp;Anmeldung!$J$22,"")</f>
        <v/>
      </c>
      <c r="AP9" t="str">
        <f>IF(AND(15&lt;&gt;16,Anmeldung!$D$22&lt;&gt;"",Anmeldung!$G$22=Anmeldung!$G$23,Anmeldung!$J$22=Anmeldung!$J$23,(Anmeldung!$B$22&amp;": "&amp;Anmeldung!$D$22&amp;", "&amp;Anmeldung!$E$22&amp;" / "&amp;Anmeldung!$G$22&amp;" / "&amp;Anmeldung!$J$22)&lt;&gt;Anmeldung!$P$23),Anmeldung!$B$22&amp;": "&amp;Anmeldung!$D$22&amp;", "&amp;Anmeldung!$E$22&amp;" / "&amp;Anmeldung!$G$22&amp;" / "&amp;Anmeldung!$J$22,"")</f>
        <v/>
      </c>
      <c r="AQ9" t="str">
        <f>IF(AND(15&lt;&gt;16,Anmeldung!$D$22&lt;&gt;"",Anmeldung!$G$22=Anmeldung!$G$23,Anmeldung!$J$22=Anmeldung!$J$23,(Anmeldung!$B$22&amp;": "&amp;Anmeldung!$D$22&amp;", "&amp;Anmeldung!$E$22&amp;" / "&amp;Anmeldung!$G$22&amp;" / "&amp;Anmeldung!$J$22)&lt;&gt;Anmeldung!$O$23),Anmeldung!$B$22&amp;": "&amp;Anmeldung!$D$22&amp;", "&amp;Anmeldung!$E$22&amp;" / "&amp;Anmeldung!$G$22&amp;" / "&amp;Anmeldung!$J$22,"")</f>
        <v/>
      </c>
      <c r="AR9" t="str">
        <f>IF(AND(15&lt;&gt;16,Anmeldung!$D$22&lt;&gt;"",Anmeldung!$G$22&lt;&gt;Anmeldung!$G$23,(Anmeldung!$B$22&amp;": "&amp;Anmeldung!$D$22&amp;", "&amp;Anmeldung!$E$22&amp;" / "&amp;Anmeldung!$G$22&amp;" / "&amp;Anmeldung!$J$22)&lt;&gt;Anmeldung!$S$23),Anmeldung!$B$22&amp;": "&amp;Anmeldung!$D$22&amp;", "&amp;Anmeldung!$E$22&amp;" / "&amp;Anmeldung!$G$22&amp;" / "&amp;Anmeldung!$J$22,"")</f>
        <v/>
      </c>
      <c r="AS9" t="str">
        <f>IF(AND(15&lt;&gt;16,Anmeldung!$D$22&lt;&gt;"",(Anmeldung!$B$22&amp;": "&amp;Anmeldung!$D$22&amp;", "&amp;Anmeldung!$E$22&amp;" / "&amp;Anmeldung!$G$22&amp;" / "&amp;Anmeldung!$J$22)&lt;&gt;Anmeldung!$R$23),Anmeldung!$B$22&amp;": "&amp;Anmeldung!$D$22&amp;", "&amp;Anmeldung!$E$22&amp;" / "&amp;Anmeldung!$G$22&amp;" / "&amp;Anmeldung!$J$22,"")</f>
        <v/>
      </c>
      <c r="AT9" t="str">
        <f>IF(AND(14&lt;&gt;15,Anmeldung!$D$22&lt;&gt;"",Anmeldung!$U$22="Ja",Anmeldung!$G$22=Anmeldung!$G$23,Anmeldung!$J$22=Anmeldung!$J$23),Anmeldung!$B$22&amp;": "&amp;Anmeldung!$D$22&amp;", "&amp;Anmeldung!$E$22&amp;" / "&amp;Anmeldung!$G$22&amp;" / "&amp;Anmeldung!$J$22,"")</f>
        <v/>
      </c>
      <c r="AW9" t="str">
        <f>IF(AND(15&lt;&gt;17,Anmeldung!$D$22&lt;&gt;"",Anmeldung!$G$22=Anmeldung!$G$24,Anmeldung!$J$22=Anmeldung!$J$24),Anmeldung!$B$22&amp;": "&amp;Anmeldung!$D$22&amp;", "&amp;Anmeldung!$E$22&amp;" / "&amp;Anmeldung!$G$22&amp;" / "&amp;Anmeldung!$J$22,"")</f>
        <v/>
      </c>
      <c r="AX9" t="str">
        <f>IF(AND(15&lt;&gt;17,Anmeldung!$D$22&lt;&gt;"",Anmeldung!$G$22=Anmeldung!$G$24,Anmeldung!$J$22=Anmeldung!$J$24,(Anmeldung!$B$22&amp;": "&amp;Anmeldung!$D$22&amp;", "&amp;Anmeldung!$E$22&amp;" / "&amp;Anmeldung!$G$22&amp;" / "&amp;Anmeldung!$J$22)&lt;&gt;Anmeldung!$P$24),Anmeldung!$B$22&amp;": "&amp;Anmeldung!$D$22&amp;", "&amp;Anmeldung!$E$22&amp;" / "&amp;Anmeldung!$G$22&amp;" / "&amp;Anmeldung!$J$22,"")</f>
        <v/>
      </c>
      <c r="AY9" t="str">
        <f>IF(AND(15&lt;&gt;17,Anmeldung!$D$22&lt;&gt;"",Anmeldung!$G$22=Anmeldung!$G$24,Anmeldung!$J$22=Anmeldung!$J$24,(Anmeldung!$B$22&amp;": "&amp;Anmeldung!$D$22&amp;", "&amp;Anmeldung!$E$22&amp;" / "&amp;Anmeldung!$G$22&amp;" / "&amp;Anmeldung!$J$22)&lt;&gt;Anmeldung!$O$24),Anmeldung!$B$22&amp;": "&amp;Anmeldung!$D$22&amp;", "&amp;Anmeldung!$E$22&amp;" / "&amp;Anmeldung!$G$22&amp;" / "&amp;Anmeldung!$J$22,"")</f>
        <v/>
      </c>
      <c r="AZ9" t="str">
        <f>IF(AND(15&lt;&gt;17,Anmeldung!$D$22&lt;&gt;"",Anmeldung!$G$22&lt;&gt;Anmeldung!$G$24,(Anmeldung!$B$22&amp;": "&amp;Anmeldung!$D$22&amp;", "&amp;Anmeldung!$E$22&amp;" / "&amp;Anmeldung!$G$22&amp;" / "&amp;Anmeldung!$J$22)&lt;&gt;Anmeldung!$S$24),Anmeldung!$B$22&amp;": "&amp;Anmeldung!$D$22&amp;", "&amp;Anmeldung!$E$22&amp;" / "&amp;Anmeldung!$G$22&amp;" / "&amp;Anmeldung!$J$22,"")</f>
        <v/>
      </c>
      <c r="BA9" t="str">
        <f>IF(AND(15&lt;&gt;17,Anmeldung!$D$22&lt;&gt;"",(Anmeldung!$B$22&amp;": "&amp;Anmeldung!$D$22&amp;", "&amp;Anmeldung!$E$22&amp;" / "&amp;Anmeldung!$G$22&amp;" / "&amp;Anmeldung!$J$22)&lt;&gt;Anmeldung!$R$24),Anmeldung!$B$22&amp;": "&amp;Anmeldung!$D$22&amp;", "&amp;Anmeldung!$E$22&amp;" / "&amp;Anmeldung!$G$22&amp;" / "&amp;Anmeldung!$J$22,"")</f>
        <v/>
      </c>
      <c r="BB9" t="str">
        <f>IF(AND(14&lt;&gt;16,Anmeldung!$D$22&lt;&gt;"",Anmeldung!$U$22="Ja",Anmeldung!$G$22=Anmeldung!$G$24,Anmeldung!$J$22=Anmeldung!$J$24),Anmeldung!$B$22&amp;": "&amp;Anmeldung!$D$22&amp;", "&amp;Anmeldung!$E$22&amp;" / "&amp;Anmeldung!$G$22&amp;" / "&amp;Anmeldung!$J$22,"")</f>
        <v/>
      </c>
      <c r="BE9" t="str">
        <f>IF(AND(15&lt;&gt;18,Anmeldung!$D$22&lt;&gt;"",Anmeldung!$G$22=Anmeldung!$G$25,Anmeldung!$J$22=Anmeldung!$J$25),Anmeldung!$B$22&amp;": "&amp;Anmeldung!$D$22&amp;", "&amp;Anmeldung!$E$22&amp;" / "&amp;Anmeldung!$G$22&amp;" / "&amp;Anmeldung!$J$22,"")</f>
        <v/>
      </c>
      <c r="BF9" t="str">
        <f>IF(AND(15&lt;&gt;18,Anmeldung!$D$22&lt;&gt;"",Anmeldung!$G$22=Anmeldung!$G$25,Anmeldung!$J$22=Anmeldung!$J$25,(Anmeldung!$B$22&amp;": "&amp;Anmeldung!$D$22&amp;", "&amp;Anmeldung!$E$22&amp;" / "&amp;Anmeldung!$G$22&amp;" / "&amp;Anmeldung!$J$22)&lt;&gt;Anmeldung!$P$25),Anmeldung!$B$22&amp;": "&amp;Anmeldung!$D$22&amp;", "&amp;Anmeldung!$E$22&amp;" / "&amp;Anmeldung!$G$22&amp;" / "&amp;Anmeldung!$J$22,"")</f>
        <v/>
      </c>
      <c r="BG9" t="str">
        <f>IF(AND(15&lt;&gt;18,Anmeldung!$D$22&lt;&gt;"",Anmeldung!$G$22=Anmeldung!$G$25,Anmeldung!$J$22=Anmeldung!$J$25,(Anmeldung!$B$22&amp;": "&amp;Anmeldung!$D$22&amp;", "&amp;Anmeldung!$E$22&amp;" / "&amp;Anmeldung!$G$22&amp;" / "&amp;Anmeldung!$J$22)&lt;&gt;Anmeldung!$O$25),Anmeldung!$B$22&amp;": "&amp;Anmeldung!$D$22&amp;", "&amp;Anmeldung!$E$22&amp;" / "&amp;Anmeldung!$G$22&amp;" / "&amp;Anmeldung!$J$22,"")</f>
        <v/>
      </c>
      <c r="BH9" t="str">
        <f>IF(AND(15&lt;&gt;18,Anmeldung!$D$22&lt;&gt;"",Anmeldung!$G$22&lt;&gt;Anmeldung!$G$25,(Anmeldung!$B$22&amp;": "&amp;Anmeldung!$D$22&amp;", "&amp;Anmeldung!$E$22&amp;" / "&amp;Anmeldung!$G$22&amp;" / "&amp;Anmeldung!$J$22)&lt;&gt;Anmeldung!$S$25),Anmeldung!$B$22&amp;": "&amp;Anmeldung!$D$22&amp;", "&amp;Anmeldung!$E$22&amp;" / "&amp;Anmeldung!$G$22&amp;" / "&amp;Anmeldung!$J$22,"")</f>
        <v/>
      </c>
      <c r="BI9" t="str">
        <f>IF(AND(15&lt;&gt;18,Anmeldung!$D$22&lt;&gt;"",(Anmeldung!$B$22&amp;": "&amp;Anmeldung!$D$22&amp;", "&amp;Anmeldung!$E$22&amp;" / "&amp;Anmeldung!$G$22&amp;" / "&amp;Anmeldung!$J$22)&lt;&gt;Anmeldung!$R$25),Anmeldung!$B$22&amp;": "&amp;Anmeldung!$D$22&amp;", "&amp;Anmeldung!$E$22&amp;" / "&amp;Anmeldung!$G$22&amp;" / "&amp;Anmeldung!$J$22,"")</f>
        <v/>
      </c>
      <c r="BJ9" t="str">
        <f>IF(AND(14&lt;&gt;17,Anmeldung!$D$22&lt;&gt;"",Anmeldung!$U$22="Ja",Anmeldung!$G$22=Anmeldung!$G$25,Anmeldung!$J$22=Anmeldung!$J$25),Anmeldung!$B$22&amp;": "&amp;Anmeldung!$D$22&amp;", "&amp;Anmeldung!$E$22&amp;" / "&amp;Anmeldung!$G$22&amp;" / "&amp;Anmeldung!$J$22,"")</f>
        <v/>
      </c>
      <c r="BM9" t="str">
        <f>IF(AND(15&lt;&gt;19,Anmeldung!$D$22&lt;&gt;"",Anmeldung!$G$22=Anmeldung!$G$26,Anmeldung!$J$22=Anmeldung!$J$26),Anmeldung!$B$22&amp;": "&amp;Anmeldung!$D$22&amp;", "&amp;Anmeldung!$E$22&amp;" / "&amp;Anmeldung!$G$22&amp;" / "&amp;Anmeldung!$J$22,"")</f>
        <v/>
      </c>
      <c r="BN9" t="str">
        <f>IF(AND(15&lt;&gt;19,Anmeldung!$D$22&lt;&gt;"",Anmeldung!$G$22=Anmeldung!$G$26,Anmeldung!$J$22=Anmeldung!$J$26,(Anmeldung!$B$22&amp;": "&amp;Anmeldung!$D$22&amp;", "&amp;Anmeldung!$E$22&amp;" / "&amp;Anmeldung!$G$22&amp;" / "&amp;Anmeldung!$J$22)&lt;&gt;Anmeldung!$P$26),Anmeldung!$B$22&amp;": "&amp;Anmeldung!$D$22&amp;", "&amp;Anmeldung!$E$22&amp;" / "&amp;Anmeldung!$G$22&amp;" / "&amp;Anmeldung!$J$22,"")</f>
        <v/>
      </c>
      <c r="BO9" t="str">
        <f>IF(AND(15&lt;&gt;19,Anmeldung!$D$22&lt;&gt;"",Anmeldung!$G$22=Anmeldung!$G$26,Anmeldung!$J$22=Anmeldung!$J$26,(Anmeldung!$B$22&amp;": "&amp;Anmeldung!$D$22&amp;", "&amp;Anmeldung!$E$22&amp;" / "&amp;Anmeldung!$G$22&amp;" / "&amp;Anmeldung!$J$22)&lt;&gt;Anmeldung!$O$26),Anmeldung!$B$22&amp;": "&amp;Anmeldung!$D$22&amp;", "&amp;Anmeldung!$E$22&amp;" / "&amp;Anmeldung!$G$22&amp;" / "&amp;Anmeldung!$J$22,"")</f>
        <v/>
      </c>
      <c r="BP9" t="str">
        <f>IF(AND(15&lt;&gt;19,Anmeldung!$D$22&lt;&gt;"",Anmeldung!$G$22&lt;&gt;Anmeldung!$G$26,(Anmeldung!$B$22&amp;": "&amp;Anmeldung!$D$22&amp;", "&amp;Anmeldung!$E$22&amp;" / "&amp;Anmeldung!$G$22&amp;" / "&amp;Anmeldung!$J$22)&lt;&gt;Anmeldung!$S$26),Anmeldung!$B$22&amp;": "&amp;Anmeldung!$D$22&amp;", "&amp;Anmeldung!$E$22&amp;" / "&amp;Anmeldung!$G$22&amp;" / "&amp;Anmeldung!$J$22,"")</f>
        <v/>
      </c>
      <c r="BQ9" t="str">
        <f>IF(AND(15&lt;&gt;19,Anmeldung!$D$22&lt;&gt;"",(Anmeldung!$B$22&amp;": "&amp;Anmeldung!$D$22&amp;", "&amp;Anmeldung!$E$22&amp;" / "&amp;Anmeldung!$G$22&amp;" / "&amp;Anmeldung!$J$22)&lt;&gt;Anmeldung!$R$26),Anmeldung!$B$22&amp;": "&amp;Anmeldung!$D$22&amp;", "&amp;Anmeldung!$E$22&amp;" / "&amp;Anmeldung!$G$22&amp;" / "&amp;Anmeldung!$J$22,"")</f>
        <v/>
      </c>
      <c r="BR9" t="str">
        <f>IF(AND(14&lt;&gt;18,Anmeldung!$D$22&lt;&gt;"",Anmeldung!$U$22="Ja",Anmeldung!$G$22=Anmeldung!$G$26,Anmeldung!$J$22=Anmeldung!$J$26),Anmeldung!$B$22&amp;": "&amp;Anmeldung!$D$22&amp;", "&amp;Anmeldung!$E$22&amp;" / "&amp;Anmeldung!$G$22&amp;" / "&amp;Anmeldung!$J$22,"")</f>
        <v/>
      </c>
      <c r="BU9" t="str">
        <f>IF(AND(15&lt;&gt;20,Anmeldung!$D$22&lt;&gt;"",Anmeldung!$G$22=Anmeldung!$G$27,Anmeldung!$J$22=Anmeldung!$J$27),Anmeldung!$B$22&amp;": "&amp;Anmeldung!$D$22&amp;", "&amp;Anmeldung!$E$22&amp;" / "&amp;Anmeldung!$G$22&amp;" / "&amp;Anmeldung!$J$22,"")</f>
        <v/>
      </c>
      <c r="BV9" t="str">
        <f>IF(AND(15&lt;&gt;20,Anmeldung!$D$22&lt;&gt;"",Anmeldung!$G$22=Anmeldung!$G$27,Anmeldung!$J$22=Anmeldung!$J$27,(Anmeldung!$B$22&amp;": "&amp;Anmeldung!$D$22&amp;", "&amp;Anmeldung!$E$22&amp;" / "&amp;Anmeldung!$G$22&amp;" / "&amp;Anmeldung!$J$22)&lt;&gt;Anmeldung!$P$27),Anmeldung!$B$22&amp;": "&amp;Anmeldung!$D$22&amp;", "&amp;Anmeldung!$E$22&amp;" / "&amp;Anmeldung!$G$22&amp;" / "&amp;Anmeldung!$J$22,"")</f>
        <v/>
      </c>
      <c r="BW9" t="str">
        <f>IF(AND(15&lt;&gt;20,Anmeldung!$D$22&lt;&gt;"",Anmeldung!$G$22=Anmeldung!$G$27,Anmeldung!$J$22=Anmeldung!$J$27,(Anmeldung!$B$22&amp;": "&amp;Anmeldung!$D$22&amp;", "&amp;Anmeldung!$E$22&amp;" / "&amp;Anmeldung!$G$22&amp;" / "&amp;Anmeldung!$J$22)&lt;&gt;Anmeldung!$O$27),Anmeldung!$B$22&amp;": "&amp;Anmeldung!$D$22&amp;", "&amp;Anmeldung!$E$22&amp;" / "&amp;Anmeldung!$G$22&amp;" / "&amp;Anmeldung!$J$22,"")</f>
        <v/>
      </c>
      <c r="BX9" t="str">
        <f>IF(AND(15&lt;&gt;20,Anmeldung!$D$22&lt;&gt;"",Anmeldung!$G$22&lt;&gt;Anmeldung!$G$27,(Anmeldung!$B$22&amp;": "&amp;Anmeldung!$D$22&amp;", "&amp;Anmeldung!$E$22&amp;" / "&amp;Anmeldung!$G$22&amp;" / "&amp;Anmeldung!$J$22)&lt;&gt;Anmeldung!$S$27),Anmeldung!$B$22&amp;": "&amp;Anmeldung!$D$22&amp;", "&amp;Anmeldung!$E$22&amp;" / "&amp;Anmeldung!$G$22&amp;" / "&amp;Anmeldung!$J$22,"")</f>
        <v/>
      </c>
      <c r="BY9" t="str">
        <f>IF(AND(15&lt;&gt;20,Anmeldung!$D$22&lt;&gt;"",(Anmeldung!$B$22&amp;": "&amp;Anmeldung!$D$22&amp;", "&amp;Anmeldung!$E$22&amp;" / "&amp;Anmeldung!$G$22&amp;" / "&amp;Anmeldung!$J$22)&lt;&gt;Anmeldung!$R$27),Anmeldung!$B$22&amp;": "&amp;Anmeldung!$D$22&amp;", "&amp;Anmeldung!$E$22&amp;" / "&amp;Anmeldung!$G$22&amp;" / "&amp;Anmeldung!$J$22,"")</f>
        <v/>
      </c>
      <c r="BZ9" t="str">
        <f>IF(AND(14&lt;&gt;19,Anmeldung!$D$22&lt;&gt;"",Anmeldung!$U$22="Ja",Anmeldung!$G$22=Anmeldung!$G$27,Anmeldung!$J$22=Anmeldung!$J$27),Anmeldung!$B$22&amp;": "&amp;Anmeldung!$D$22&amp;", "&amp;Anmeldung!$E$22&amp;" / "&amp;Anmeldung!$G$22&amp;" / "&amp;Anmeldung!$J$22,"")</f>
        <v/>
      </c>
      <c r="CC9" t="str">
        <f>IF(AND(15&lt;&gt;21,Anmeldung!$D$22&lt;&gt;"",Anmeldung!$G$22=Anmeldung!$G$28,Anmeldung!$J$22=Anmeldung!$J$28),Anmeldung!$B$22&amp;": "&amp;Anmeldung!$D$22&amp;", "&amp;Anmeldung!$E$22&amp;" / "&amp;Anmeldung!$G$22&amp;" / "&amp;Anmeldung!$J$22,"")</f>
        <v/>
      </c>
      <c r="CD9" t="str">
        <f>IF(AND(15&lt;&gt;21,Anmeldung!$D$22&lt;&gt;"",Anmeldung!$G$22=Anmeldung!$G$28,Anmeldung!$J$22=Anmeldung!$J$28,(Anmeldung!$B$22&amp;": "&amp;Anmeldung!$D$22&amp;", "&amp;Anmeldung!$E$22&amp;" / "&amp;Anmeldung!$G$22&amp;" / "&amp;Anmeldung!$J$22)&lt;&gt;Anmeldung!$P$28),Anmeldung!$B$22&amp;": "&amp;Anmeldung!$D$22&amp;", "&amp;Anmeldung!$E$22&amp;" / "&amp;Anmeldung!$G$22&amp;" / "&amp;Anmeldung!$J$22,"")</f>
        <v/>
      </c>
      <c r="CE9" t="str">
        <f>IF(AND(15&lt;&gt;21,Anmeldung!$D$22&lt;&gt;"",Anmeldung!$G$22=Anmeldung!$G$28,Anmeldung!$J$22=Anmeldung!$J$28,(Anmeldung!$B$22&amp;": "&amp;Anmeldung!$D$22&amp;", "&amp;Anmeldung!$E$22&amp;" / "&amp;Anmeldung!$G$22&amp;" / "&amp;Anmeldung!$J$22)&lt;&gt;Anmeldung!$O$28),Anmeldung!$B$22&amp;": "&amp;Anmeldung!$D$22&amp;", "&amp;Anmeldung!$E$22&amp;" / "&amp;Anmeldung!$G$22&amp;" / "&amp;Anmeldung!$J$22,"")</f>
        <v/>
      </c>
      <c r="CF9" t="str">
        <f>IF(AND(15&lt;&gt;21,Anmeldung!$D$22&lt;&gt;"",Anmeldung!$G$22&lt;&gt;Anmeldung!$G$28,(Anmeldung!$B$22&amp;": "&amp;Anmeldung!$D$22&amp;", "&amp;Anmeldung!$E$22&amp;" / "&amp;Anmeldung!$G$22&amp;" / "&amp;Anmeldung!$J$22)&lt;&gt;Anmeldung!$S$28),Anmeldung!$B$22&amp;": "&amp;Anmeldung!$D$22&amp;", "&amp;Anmeldung!$E$22&amp;" / "&amp;Anmeldung!$G$22&amp;" / "&amp;Anmeldung!$J$22,"")</f>
        <v/>
      </c>
      <c r="CG9" t="str">
        <f>IF(AND(15&lt;&gt;21,Anmeldung!$D$22&lt;&gt;"",(Anmeldung!$B$22&amp;": "&amp;Anmeldung!$D$22&amp;", "&amp;Anmeldung!$E$22&amp;" / "&amp;Anmeldung!$G$22&amp;" / "&amp;Anmeldung!$J$22)&lt;&gt;Anmeldung!$R$28),Anmeldung!$B$22&amp;": "&amp;Anmeldung!$D$22&amp;", "&amp;Anmeldung!$E$22&amp;" / "&amp;Anmeldung!$G$22&amp;" / "&amp;Anmeldung!$J$22,"")</f>
        <v/>
      </c>
      <c r="CH9" t="str">
        <f>IF(AND(14&lt;&gt;20,Anmeldung!$D$22&lt;&gt;"",Anmeldung!$U$22="Ja",Anmeldung!$G$22=Anmeldung!$G$28,Anmeldung!$J$22=Anmeldung!$J$28),Anmeldung!$B$22&amp;": "&amp;Anmeldung!$D$22&amp;", "&amp;Anmeldung!$E$22&amp;" / "&amp;Anmeldung!$G$22&amp;" / "&amp;Anmeldung!$J$22,"")</f>
        <v/>
      </c>
      <c r="CK9" t="str">
        <f>IF(AND(15&lt;&gt;22,Anmeldung!$D$22&lt;&gt;"",Anmeldung!$G$22=Anmeldung!$G$29,Anmeldung!$J$22=Anmeldung!$J$29),Anmeldung!$B$22&amp;": "&amp;Anmeldung!$D$22&amp;", "&amp;Anmeldung!$E$22&amp;" / "&amp;Anmeldung!$G$22&amp;" / "&amp;Anmeldung!$J$22,"")</f>
        <v/>
      </c>
      <c r="CL9" t="str">
        <f>IF(AND(15&lt;&gt;22,Anmeldung!$D$22&lt;&gt;"",Anmeldung!$G$22=Anmeldung!$G$29,Anmeldung!$J$22=Anmeldung!$J$29,(Anmeldung!$B$22&amp;": "&amp;Anmeldung!$D$22&amp;", "&amp;Anmeldung!$E$22&amp;" / "&amp;Anmeldung!$G$22&amp;" / "&amp;Anmeldung!$J$22)&lt;&gt;Anmeldung!$P$29),Anmeldung!$B$22&amp;": "&amp;Anmeldung!$D$22&amp;", "&amp;Anmeldung!$E$22&amp;" / "&amp;Anmeldung!$G$22&amp;" / "&amp;Anmeldung!$J$22,"")</f>
        <v/>
      </c>
      <c r="CM9" t="str">
        <f>IF(AND(15&lt;&gt;22,Anmeldung!$D$22&lt;&gt;"",Anmeldung!$G$22=Anmeldung!$G$29,Anmeldung!$J$22=Anmeldung!$J$29,(Anmeldung!$B$22&amp;": "&amp;Anmeldung!$D$22&amp;", "&amp;Anmeldung!$E$22&amp;" / "&amp;Anmeldung!$G$22&amp;" / "&amp;Anmeldung!$J$22)&lt;&gt;Anmeldung!$O$29),Anmeldung!$B$22&amp;": "&amp;Anmeldung!$D$22&amp;", "&amp;Anmeldung!$E$22&amp;" / "&amp;Anmeldung!$G$22&amp;" / "&amp;Anmeldung!$J$22,"")</f>
        <v/>
      </c>
      <c r="CN9" t="str">
        <f>IF(AND(15&lt;&gt;22,Anmeldung!$D$22&lt;&gt;"",Anmeldung!$G$22&lt;&gt;Anmeldung!$G$29,(Anmeldung!$B$22&amp;": "&amp;Anmeldung!$D$22&amp;", "&amp;Anmeldung!$E$22&amp;" / "&amp;Anmeldung!$G$22&amp;" / "&amp;Anmeldung!$J$22)&lt;&gt;Anmeldung!$S$29),Anmeldung!$B$22&amp;": "&amp;Anmeldung!$D$22&amp;", "&amp;Anmeldung!$E$22&amp;" / "&amp;Anmeldung!$G$22&amp;" / "&amp;Anmeldung!$J$22,"")</f>
        <v/>
      </c>
      <c r="CO9" t="str">
        <f>IF(AND(15&lt;&gt;22,Anmeldung!$D$22&lt;&gt;"",(Anmeldung!$B$22&amp;": "&amp;Anmeldung!$D$22&amp;", "&amp;Anmeldung!$E$22&amp;" / "&amp;Anmeldung!$G$22&amp;" / "&amp;Anmeldung!$J$22)&lt;&gt;Anmeldung!$R$29),Anmeldung!$B$22&amp;": "&amp;Anmeldung!$D$22&amp;", "&amp;Anmeldung!$E$22&amp;" / "&amp;Anmeldung!$G$22&amp;" / "&amp;Anmeldung!$J$22,"")</f>
        <v/>
      </c>
      <c r="CP9" t="str">
        <f>IF(AND(14&lt;&gt;21,Anmeldung!$D$22&lt;&gt;"",Anmeldung!$U$22="Ja",Anmeldung!$G$22=Anmeldung!$G$29,Anmeldung!$J$22=Anmeldung!$J$29),Anmeldung!$B$22&amp;": "&amp;Anmeldung!$D$22&amp;", "&amp;Anmeldung!$E$22&amp;" / "&amp;Anmeldung!$G$22&amp;" / "&amp;Anmeldung!$J$22,"")</f>
        <v/>
      </c>
      <c r="CS9" t="str">
        <f>IF(AND(15&lt;&gt;23,Anmeldung!$D$22&lt;&gt;"",Anmeldung!$G$22=Anmeldung!$G$30,Anmeldung!$J$22=Anmeldung!$J$30),Anmeldung!$B$22&amp;": "&amp;Anmeldung!$D$22&amp;", "&amp;Anmeldung!$E$22&amp;" / "&amp;Anmeldung!$G$22&amp;" / "&amp;Anmeldung!$J$22,"")</f>
        <v/>
      </c>
      <c r="CT9" t="str">
        <f>IF(AND(15&lt;&gt;23,Anmeldung!$D$22&lt;&gt;"",Anmeldung!$G$22=Anmeldung!$G$30,Anmeldung!$J$22=Anmeldung!$J$30,(Anmeldung!$B$22&amp;": "&amp;Anmeldung!$D$22&amp;", "&amp;Anmeldung!$E$22&amp;" / "&amp;Anmeldung!$G$22&amp;" / "&amp;Anmeldung!$J$22)&lt;&gt;Anmeldung!$P$30),Anmeldung!$B$22&amp;": "&amp;Anmeldung!$D$22&amp;", "&amp;Anmeldung!$E$22&amp;" / "&amp;Anmeldung!$G$22&amp;" / "&amp;Anmeldung!$J$22,"")</f>
        <v/>
      </c>
      <c r="CU9" t="str">
        <f>IF(AND(15&lt;&gt;23,Anmeldung!$D$22&lt;&gt;"",Anmeldung!$G$22=Anmeldung!$G$30,Anmeldung!$J$22=Anmeldung!$J$30,(Anmeldung!$B$22&amp;": "&amp;Anmeldung!$D$22&amp;", "&amp;Anmeldung!$E$22&amp;" / "&amp;Anmeldung!$G$22&amp;" / "&amp;Anmeldung!$J$22)&lt;&gt;Anmeldung!$O$30),Anmeldung!$B$22&amp;": "&amp;Anmeldung!$D$22&amp;", "&amp;Anmeldung!$E$22&amp;" / "&amp;Anmeldung!$G$22&amp;" / "&amp;Anmeldung!$J$22,"")</f>
        <v/>
      </c>
      <c r="CV9" t="str">
        <f>IF(AND(15&lt;&gt;23,Anmeldung!$D$22&lt;&gt;"",Anmeldung!$G$22&lt;&gt;Anmeldung!$G$30,(Anmeldung!$B$22&amp;": "&amp;Anmeldung!$D$22&amp;", "&amp;Anmeldung!$E$22&amp;" / "&amp;Anmeldung!$G$22&amp;" / "&amp;Anmeldung!$J$22)&lt;&gt;Anmeldung!$S$30),Anmeldung!$B$22&amp;": "&amp;Anmeldung!$D$22&amp;", "&amp;Anmeldung!$E$22&amp;" / "&amp;Anmeldung!$G$22&amp;" / "&amp;Anmeldung!$J$22,"")</f>
        <v/>
      </c>
      <c r="CW9" t="str">
        <f>IF(AND(15&lt;&gt;23,Anmeldung!$D$22&lt;&gt;"",(Anmeldung!$B$22&amp;": "&amp;Anmeldung!$D$22&amp;", "&amp;Anmeldung!$E$22&amp;" / "&amp;Anmeldung!$G$22&amp;" / "&amp;Anmeldung!$J$22)&lt;&gt;Anmeldung!$R$30),Anmeldung!$B$22&amp;": "&amp;Anmeldung!$D$22&amp;", "&amp;Anmeldung!$E$22&amp;" / "&amp;Anmeldung!$G$22&amp;" / "&amp;Anmeldung!$J$22,"")</f>
        <v/>
      </c>
      <c r="CX9" t="str">
        <f>IF(AND(14&lt;&gt;22,Anmeldung!$D$22&lt;&gt;"",Anmeldung!$U$22="Ja",Anmeldung!$G$22=Anmeldung!$G$30,Anmeldung!$J$22=Anmeldung!$J$30),Anmeldung!$B$22&amp;": "&amp;Anmeldung!$D$22&amp;", "&amp;Anmeldung!$E$22&amp;" / "&amp;Anmeldung!$G$22&amp;" / "&amp;Anmeldung!$J$22,"")</f>
        <v/>
      </c>
      <c r="DA9" t="str">
        <f>IF(AND(15&lt;&gt;24,Anmeldung!$D$22&lt;&gt;"",Anmeldung!$G$22=Anmeldung!$G$31,Anmeldung!$J$22=Anmeldung!$J$31),Anmeldung!$B$22&amp;": "&amp;Anmeldung!$D$22&amp;", "&amp;Anmeldung!$E$22&amp;" / "&amp;Anmeldung!$G$22&amp;" / "&amp;Anmeldung!$J$22,"")</f>
        <v/>
      </c>
      <c r="DB9" t="str">
        <f>IF(AND(15&lt;&gt;24,Anmeldung!$D$22&lt;&gt;"",Anmeldung!$G$22=Anmeldung!$G$31,Anmeldung!$J$22=Anmeldung!$J$31,(Anmeldung!$B$22&amp;": "&amp;Anmeldung!$D$22&amp;", "&amp;Anmeldung!$E$22&amp;" / "&amp;Anmeldung!$G$22&amp;" / "&amp;Anmeldung!$J$22)&lt;&gt;Anmeldung!$P$31),Anmeldung!$B$22&amp;": "&amp;Anmeldung!$D$22&amp;", "&amp;Anmeldung!$E$22&amp;" / "&amp;Anmeldung!$G$22&amp;" / "&amp;Anmeldung!$J$22,"")</f>
        <v/>
      </c>
      <c r="DC9" t="str">
        <f>IF(AND(15&lt;&gt;24,Anmeldung!$D$22&lt;&gt;"",Anmeldung!$G$22=Anmeldung!$G$31,Anmeldung!$J$22=Anmeldung!$J$31,(Anmeldung!$B$22&amp;": "&amp;Anmeldung!$D$22&amp;", "&amp;Anmeldung!$E$22&amp;" / "&amp;Anmeldung!$G$22&amp;" / "&amp;Anmeldung!$J$22)&lt;&gt;Anmeldung!$O$31),Anmeldung!$B$22&amp;": "&amp;Anmeldung!$D$22&amp;", "&amp;Anmeldung!$E$22&amp;" / "&amp;Anmeldung!$G$22&amp;" / "&amp;Anmeldung!$J$22,"")</f>
        <v/>
      </c>
      <c r="DD9" t="str">
        <f>IF(AND(15&lt;&gt;24,Anmeldung!$D$22&lt;&gt;"",Anmeldung!$G$22&lt;&gt;Anmeldung!$G$31,(Anmeldung!$B$22&amp;": "&amp;Anmeldung!$D$22&amp;", "&amp;Anmeldung!$E$22&amp;" / "&amp;Anmeldung!$G$22&amp;" / "&amp;Anmeldung!$J$22)&lt;&gt;Anmeldung!$S$31),Anmeldung!$B$22&amp;": "&amp;Anmeldung!$D$22&amp;", "&amp;Anmeldung!$E$22&amp;" / "&amp;Anmeldung!$G$22&amp;" / "&amp;Anmeldung!$J$22,"")</f>
        <v/>
      </c>
      <c r="DE9" t="str">
        <f>IF(AND(15&lt;&gt;24,Anmeldung!$D$22&lt;&gt;"",(Anmeldung!$B$22&amp;": "&amp;Anmeldung!$D$22&amp;", "&amp;Anmeldung!$E$22&amp;" / "&amp;Anmeldung!$G$22&amp;" / "&amp;Anmeldung!$J$22)&lt;&gt;Anmeldung!$R$31),Anmeldung!$B$22&amp;": "&amp;Anmeldung!$D$22&amp;", "&amp;Anmeldung!$E$22&amp;" / "&amp;Anmeldung!$G$22&amp;" / "&amp;Anmeldung!$J$22,"")</f>
        <v/>
      </c>
      <c r="DF9" t="str">
        <f>IF(AND(14&lt;&gt;23,Anmeldung!$D$22&lt;&gt;"",Anmeldung!$U$22="Ja",Anmeldung!$G$22=Anmeldung!$G$31,Anmeldung!$J$22=Anmeldung!$J$31),Anmeldung!$B$22&amp;": "&amp;Anmeldung!$D$22&amp;", "&amp;Anmeldung!$E$22&amp;" / "&amp;Anmeldung!$G$22&amp;" / "&amp;Anmeldung!$J$22,"")</f>
        <v/>
      </c>
      <c r="DI9" t="str">
        <f>IF(AND(15&lt;&gt;25,Anmeldung!$D$22&lt;&gt;"",Anmeldung!$G$22=Anmeldung!$G$32,Anmeldung!$J$22=Anmeldung!$J$32),Anmeldung!$B$22&amp;": "&amp;Anmeldung!$D$22&amp;", "&amp;Anmeldung!$E$22&amp;" / "&amp;Anmeldung!$G$22&amp;" / "&amp;Anmeldung!$J$22,"")</f>
        <v/>
      </c>
      <c r="DJ9" t="str">
        <f>IF(AND(15&lt;&gt;25,Anmeldung!$D$22&lt;&gt;"",Anmeldung!$G$22=Anmeldung!$G$32,Anmeldung!$J$22=Anmeldung!$J$32,(Anmeldung!$B$22&amp;": "&amp;Anmeldung!$D$22&amp;", "&amp;Anmeldung!$E$22&amp;" / "&amp;Anmeldung!$G$22&amp;" / "&amp;Anmeldung!$J$22)&lt;&gt;Anmeldung!$P$32),Anmeldung!$B$22&amp;": "&amp;Anmeldung!$D$22&amp;", "&amp;Anmeldung!$E$22&amp;" / "&amp;Anmeldung!$G$22&amp;" / "&amp;Anmeldung!$J$22,"")</f>
        <v/>
      </c>
      <c r="DK9" t="str">
        <f>IF(AND(15&lt;&gt;25,Anmeldung!$D$22&lt;&gt;"",Anmeldung!$G$22=Anmeldung!$G$32,Anmeldung!$J$22=Anmeldung!$J$32,(Anmeldung!$B$22&amp;": "&amp;Anmeldung!$D$22&amp;", "&amp;Anmeldung!$E$22&amp;" / "&amp;Anmeldung!$G$22&amp;" / "&amp;Anmeldung!$J$22)&lt;&gt;Anmeldung!$O$32),Anmeldung!$B$22&amp;": "&amp;Anmeldung!$D$22&amp;", "&amp;Anmeldung!$E$22&amp;" / "&amp;Anmeldung!$G$22&amp;" / "&amp;Anmeldung!$J$22,"")</f>
        <v/>
      </c>
      <c r="DL9" t="str">
        <f>IF(AND(15&lt;&gt;25,Anmeldung!$D$22&lt;&gt;"",Anmeldung!$G$22&lt;&gt;Anmeldung!$G$32,(Anmeldung!$B$22&amp;": "&amp;Anmeldung!$D$22&amp;", "&amp;Anmeldung!$E$22&amp;" / "&amp;Anmeldung!$G$22&amp;" / "&amp;Anmeldung!$J$22)&lt;&gt;Anmeldung!$S$32),Anmeldung!$B$22&amp;": "&amp;Anmeldung!$D$22&amp;", "&amp;Anmeldung!$E$22&amp;" / "&amp;Anmeldung!$G$22&amp;" / "&amp;Anmeldung!$J$22,"")</f>
        <v/>
      </c>
      <c r="DM9" t="str">
        <f>IF(AND(15&lt;&gt;25,Anmeldung!$D$22&lt;&gt;"",(Anmeldung!$B$22&amp;": "&amp;Anmeldung!$D$22&amp;", "&amp;Anmeldung!$E$22&amp;" / "&amp;Anmeldung!$G$22&amp;" / "&amp;Anmeldung!$J$22)&lt;&gt;Anmeldung!$R$32),Anmeldung!$B$22&amp;": "&amp;Anmeldung!$D$22&amp;", "&amp;Anmeldung!$E$22&amp;" / "&amp;Anmeldung!$G$22&amp;" / "&amp;Anmeldung!$J$22,"")</f>
        <v/>
      </c>
      <c r="DN9" t="str">
        <f>IF(AND(14&lt;&gt;24,Anmeldung!$D$22&lt;&gt;"",Anmeldung!$U$22="Ja",Anmeldung!$G$22=Anmeldung!$G$32,Anmeldung!$J$22=Anmeldung!$J$32),Anmeldung!$B$22&amp;": "&amp;Anmeldung!$D$22&amp;", "&amp;Anmeldung!$E$22&amp;" / "&amp;Anmeldung!$G$22&amp;" / "&amp;Anmeldung!$J$22,"")</f>
        <v/>
      </c>
      <c r="DQ9" t="str">
        <f>IF(AND(15&lt;&gt;26,Anmeldung!$D$22&lt;&gt;"",Anmeldung!$G$22=Anmeldung!$G$33,Anmeldung!$J$22=Anmeldung!$J$33),Anmeldung!$B$22&amp;": "&amp;Anmeldung!$D$22&amp;", "&amp;Anmeldung!$E$22&amp;" / "&amp;Anmeldung!$G$22&amp;" / "&amp;Anmeldung!$J$22,"")</f>
        <v/>
      </c>
      <c r="DR9" t="str">
        <f>IF(AND(15&lt;&gt;26,Anmeldung!$D$22&lt;&gt;"",Anmeldung!$G$22=Anmeldung!$G$33,Anmeldung!$J$22=Anmeldung!$J$33,(Anmeldung!$B$22&amp;": "&amp;Anmeldung!$D$22&amp;", "&amp;Anmeldung!$E$22&amp;" / "&amp;Anmeldung!$G$22&amp;" / "&amp;Anmeldung!$J$22)&lt;&gt;Anmeldung!$P$33),Anmeldung!$B$22&amp;": "&amp;Anmeldung!$D$22&amp;", "&amp;Anmeldung!$E$22&amp;" / "&amp;Anmeldung!$G$22&amp;" / "&amp;Anmeldung!$J$22,"")</f>
        <v/>
      </c>
      <c r="DS9" t="str">
        <f>IF(AND(15&lt;&gt;26,Anmeldung!$D$22&lt;&gt;"",Anmeldung!$G$22=Anmeldung!$G$33,Anmeldung!$J$22=Anmeldung!$J$33,(Anmeldung!$B$22&amp;": "&amp;Anmeldung!$D$22&amp;", "&amp;Anmeldung!$E$22&amp;" / "&amp;Anmeldung!$G$22&amp;" / "&amp;Anmeldung!$J$22)&lt;&gt;Anmeldung!$O$33),Anmeldung!$B$22&amp;": "&amp;Anmeldung!$D$22&amp;", "&amp;Anmeldung!$E$22&amp;" / "&amp;Anmeldung!$G$22&amp;" / "&amp;Anmeldung!$J$22,"")</f>
        <v/>
      </c>
      <c r="DT9" t="str">
        <f>IF(AND(15&lt;&gt;26,Anmeldung!$D$22&lt;&gt;"",Anmeldung!$G$22&lt;&gt;Anmeldung!$G$33,(Anmeldung!$B$22&amp;": "&amp;Anmeldung!$D$22&amp;", "&amp;Anmeldung!$E$22&amp;" / "&amp;Anmeldung!$G$22&amp;" / "&amp;Anmeldung!$J$22)&lt;&gt;Anmeldung!$S$33),Anmeldung!$B$22&amp;": "&amp;Anmeldung!$D$22&amp;", "&amp;Anmeldung!$E$22&amp;" / "&amp;Anmeldung!$G$22&amp;" / "&amp;Anmeldung!$J$22,"")</f>
        <v/>
      </c>
      <c r="DU9" t="str">
        <f>IF(AND(15&lt;&gt;26,Anmeldung!$D$22&lt;&gt;"",(Anmeldung!$B$22&amp;": "&amp;Anmeldung!$D$22&amp;", "&amp;Anmeldung!$E$22&amp;" / "&amp;Anmeldung!$G$22&amp;" / "&amp;Anmeldung!$J$22)&lt;&gt;Anmeldung!$R$33),Anmeldung!$B$22&amp;": "&amp;Anmeldung!$D$22&amp;", "&amp;Anmeldung!$E$22&amp;" / "&amp;Anmeldung!$G$22&amp;" / "&amp;Anmeldung!$J$22,"")</f>
        <v/>
      </c>
      <c r="DV9" t="str">
        <f>IF(AND(14&lt;&gt;25,Anmeldung!$D$22&lt;&gt;"",Anmeldung!$U$22="Ja",Anmeldung!$G$22=Anmeldung!$G$33,Anmeldung!$J$22=Anmeldung!$J$33),Anmeldung!$B$22&amp;": "&amp;Anmeldung!$D$22&amp;", "&amp;Anmeldung!$E$22&amp;" / "&amp;Anmeldung!$G$22&amp;" / "&amp;Anmeldung!$J$22,"")</f>
        <v/>
      </c>
      <c r="DY9" t="str">
        <f>IF(AND(15&lt;&gt;27,Anmeldung!$D$22&lt;&gt;"",Anmeldung!$G$22=Anmeldung!$G$34,Anmeldung!$J$22=Anmeldung!$J$34),Anmeldung!$B$22&amp;": "&amp;Anmeldung!$D$22&amp;", "&amp;Anmeldung!$E$22&amp;" / "&amp;Anmeldung!$G$22&amp;" / "&amp;Anmeldung!$J$22,"")</f>
        <v/>
      </c>
      <c r="DZ9" t="str">
        <f>IF(AND(15&lt;&gt;27,Anmeldung!$D$22&lt;&gt;"",Anmeldung!$G$22=Anmeldung!$G$34,Anmeldung!$J$22=Anmeldung!$J$34,(Anmeldung!$B$22&amp;": "&amp;Anmeldung!$D$22&amp;", "&amp;Anmeldung!$E$22&amp;" / "&amp;Anmeldung!$G$22&amp;" / "&amp;Anmeldung!$J$22)&lt;&gt;Anmeldung!$P$34),Anmeldung!$B$22&amp;": "&amp;Anmeldung!$D$22&amp;", "&amp;Anmeldung!$E$22&amp;" / "&amp;Anmeldung!$G$22&amp;" / "&amp;Anmeldung!$J$22,"")</f>
        <v/>
      </c>
      <c r="EA9" t="str">
        <f>IF(AND(15&lt;&gt;27,Anmeldung!$D$22&lt;&gt;"",Anmeldung!$G$22=Anmeldung!$G$34,Anmeldung!$J$22=Anmeldung!$J$34,(Anmeldung!$B$22&amp;": "&amp;Anmeldung!$D$22&amp;", "&amp;Anmeldung!$E$22&amp;" / "&amp;Anmeldung!$G$22&amp;" / "&amp;Anmeldung!$J$22)&lt;&gt;Anmeldung!$O$34),Anmeldung!$B$22&amp;": "&amp;Anmeldung!$D$22&amp;", "&amp;Anmeldung!$E$22&amp;" / "&amp;Anmeldung!$G$22&amp;" / "&amp;Anmeldung!$J$22,"")</f>
        <v/>
      </c>
      <c r="EB9" t="str">
        <f>IF(AND(15&lt;&gt;27,Anmeldung!$D$22&lt;&gt;"",Anmeldung!$G$22&lt;&gt;Anmeldung!$G$34,(Anmeldung!$B$22&amp;": "&amp;Anmeldung!$D$22&amp;", "&amp;Anmeldung!$E$22&amp;" / "&amp;Anmeldung!$G$22&amp;" / "&amp;Anmeldung!$J$22)&lt;&gt;Anmeldung!$S$34),Anmeldung!$B$22&amp;": "&amp;Anmeldung!$D$22&amp;", "&amp;Anmeldung!$E$22&amp;" / "&amp;Anmeldung!$G$22&amp;" / "&amp;Anmeldung!$J$22,"")</f>
        <v/>
      </c>
      <c r="EC9" t="str">
        <f>IF(AND(15&lt;&gt;27,Anmeldung!$D$22&lt;&gt;"",(Anmeldung!$B$22&amp;": "&amp;Anmeldung!$D$22&amp;", "&amp;Anmeldung!$E$22&amp;" / "&amp;Anmeldung!$G$22&amp;" / "&amp;Anmeldung!$J$22)&lt;&gt;Anmeldung!$R$34),Anmeldung!$B$22&amp;": "&amp;Anmeldung!$D$22&amp;", "&amp;Anmeldung!$E$22&amp;" / "&amp;Anmeldung!$G$22&amp;" / "&amp;Anmeldung!$J$22,"")</f>
        <v/>
      </c>
      <c r="ED9" t="str">
        <f>IF(AND(14&lt;&gt;26,Anmeldung!$D$22&lt;&gt;"",Anmeldung!$U$22="Ja",Anmeldung!$G$22=Anmeldung!$G$34,Anmeldung!$J$22=Anmeldung!$J$34),Anmeldung!$B$22&amp;": "&amp;Anmeldung!$D$22&amp;", "&amp;Anmeldung!$E$22&amp;" / "&amp;Anmeldung!$G$22&amp;" / "&amp;Anmeldung!$J$22,"")</f>
        <v/>
      </c>
      <c r="EG9" t="str">
        <f>IF(AND(15&lt;&gt;28,Anmeldung!$D$22&lt;&gt;"",Anmeldung!$G$22=Anmeldung!$G$35,Anmeldung!$J$22=Anmeldung!$J$35),Anmeldung!$B$22&amp;": "&amp;Anmeldung!$D$22&amp;", "&amp;Anmeldung!$E$22&amp;" / "&amp;Anmeldung!$G$22&amp;" / "&amp;Anmeldung!$J$22,"")</f>
        <v/>
      </c>
      <c r="EH9" t="str">
        <f>IF(AND(15&lt;&gt;28,Anmeldung!$D$22&lt;&gt;"",Anmeldung!$G$22=Anmeldung!$G$35,Anmeldung!$J$22=Anmeldung!$J$35,(Anmeldung!$B$22&amp;": "&amp;Anmeldung!$D$22&amp;", "&amp;Anmeldung!$E$22&amp;" / "&amp;Anmeldung!$G$22&amp;" / "&amp;Anmeldung!$J$22)&lt;&gt;Anmeldung!$P$35),Anmeldung!$B$22&amp;": "&amp;Anmeldung!$D$22&amp;", "&amp;Anmeldung!$E$22&amp;" / "&amp;Anmeldung!$G$22&amp;" / "&amp;Anmeldung!$J$22,"")</f>
        <v/>
      </c>
      <c r="EI9" t="str">
        <f>IF(AND(15&lt;&gt;28,Anmeldung!$D$22&lt;&gt;"",Anmeldung!$G$22=Anmeldung!$G$35,Anmeldung!$J$22=Anmeldung!$J$35,(Anmeldung!$B$22&amp;": "&amp;Anmeldung!$D$22&amp;", "&amp;Anmeldung!$E$22&amp;" / "&amp;Anmeldung!$G$22&amp;" / "&amp;Anmeldung!$J$22)&lt;&gt;Anmeldung!$O$35),Anmeldung!$B$22&amp;": "&amp;Anmeldung!$D$22&amp;", "&amp;Anmeldung!$E$22&amp;" / "&amp;Anmeldung!$G$22&amp;" / "&amp;Anmeldung!$J$22,"")</f>
        <v/>
      </c>
      <c r="EJ9" t="str">
        <f>IF(AND(15&lt;&gt;28,Anmeldung!$D$22&lt;&gt;"",Anmeldung!$G$22&lt;&gt;Anmeldung!$G$35,(Anmeldung!$B$22&amp;": "&amp;Anmeldung!$D$22&amp;", "&amp;Anmeldung!$E$22&amp;" / "&amp;Anmeldung!$G$22&amp;" / "&amp;Anmeldung!$J$22)&lt;&gt;Anmeldung!$S$35),Anmeldung!$B$22&amp;": "&amp;Anmeldung!$D$22&amp;", "&amp;Anmeldung!$E$22&amp;" / "&amp;Anmeldung!$G$22&amp;" / "&amp;Anmeldung!$J$22,"")</f>
        <v/>
      </c>
      <c r="EK9" t="str">
        <f>IF(AND(15&lt;&gt;28,Anmeldung!$D$22&lt;&gt;"",(Anmeldung!$B$22&amp;": "&amp;Anmeldung!$D$22&amp;", "&amp;Anmeldung!$E$22&amp;" / "&amp;Anmeldung!$G$22&amp;" / "&amp;Anmeldung!$J$22)&lt;&gt;Anmeldung!$R$35),Anmeldung!$B$22&amp;": "&amp;Anmeldung!$D$22&amp;", "&amp;Anmeldung!$E$22&amp;" / "&amp;Anmeldung!$G$22&amp;" / "&amp;Anmeldung!$J$22,"")</f>
        <v/>
      </c>
      <c r="EL9" t="str">
        <f>IF(AND(14&lt;&gt;27,Anmeldung!$D$22&lt;&gt;"",Anmeldung!$U$22="Ja",Anmeldung!$G$22=Anmeldung!$G$35,Anmeldung!$J$22=Anmeldung!$J$35),Anmeldung!$B$22&amp;": "&amp;Anmeldung!$D$22&amp;", "&amp;Anmeldung!$E$22&amp;" / "&amp;Anmeldung!$G$22&amp;" / "&amp;Anmeldung!$J$22,"")</f>
        <v/>
      </c>
      <c r="EO9" t="str">
        <f>IF(AND(15&lt;&gt;29,Anmeldung!$D$22&lt;&gt;"",Anmeldung!$G$22=Anmeldung!$G$36,Anmeldung!$J$22=Anmeldung!$J$36),Anmeldung!$B$22&amp;": "&amp;Anmeldung!$D$22&amp;", "&amp;Anmeldung!$E$22&amp;" / "&amp;Anmeldung!$G$22&amp;" / "&amp;Anmeldung!$J$22,"")</f>
        <v/>
      </c>
      <c r="EP9" t="str">
        <f>IF(AND(15&lt;&gt;29,Anmeldung!$D$22&lt;&gt;"",Anmeldung!$G$22=Anmeldung!$G$36,Anmeldung!$J$22=Anmeldung!$J$36,(Anmeldung!$B$22&amp;": "&amp;Anmeldung!$D$22&amp;", "&amp;Anmeldung!$E$22&amp;" / "&amp;Anmeldung!$G$22&amp;" / "&amp;Anmeldung!$J$22)&lt;&gt;Anmeldung!$P$36),Anmeldung!$B$22&amp;": "&amp;Anmeldung!$D$22&amp;", "&amp;Anmeldung!$E$22&amp;" / "&amp;Anmeldung!$G$22&amp;" / "&amp;Anmeldung!$J$22,"")</f>
        <v/>
      </c>
      <c r="EQ9" t="str">
        <f>IF(AND(15&lt;&gt;29,Anmeldung!$D$22&lt;&gt;"",Anmeldung!$G$22=Anmeldung!$G$36,Anmeldung!$J$22=Anmeldung!$J$36,(Anmeldung!$B$22&amp;": "&amp;Anmeldung!$D$22&amp;", "&amp;Anmeldung!$E$22&amp;" / "&amp;Anmeldung!$G$22&amp;" / "&amp;Anmeldung!$J$22)&lt;&gt;Anmeldung!$O$36),Anmeldung!$B$22&amp;": "&amp;Anmeldung!$D$22&amp;", "&amp;Anmeldung!$E$22&amp;" / "&amp;Anmeldung!$G$22&amp;" / "&amp;Anmeldung!$J$22,"")</f>
        <v/>
      </c>
      <c r="ER9" t="str">
        <f>IF(AND(15&lt;&gt;29,Anmeldung!$D$22&lt;&gt;"",Anmeldung!$G$22&lt;&gt;Anmeldung!$G$36,(Anmeldung!$B$22&amp;": "&amp;Anmeldung!$D$22&amp;", "&amp;Anmeldung!$E$22&amp;" / "&amp;Anmeldung!$G$22&amp;" / "&amp;Anmeldung!$J$22)&lt;&gt;Anmeldung!$S$36),Anmeldung!$B$22&amp;": "&amp;Anmeldung!$D$22&amp;", "&amp;Anmeldung!$E$22&amp;" / "&amp;Anmeldung!$G$22&amp;" / "&amp;Anmeldung!$J$22,"")</f>
        <v/>
      </c>
      <c r="ES9" t="str">
        <f>IF(AND(15&lt;&gt;29,Anmeldung!$D$22&lt;&gt;"",(Anmeldung!$B$22&amp;": "&amp;Anmeldung!$D$22&amp;", "&amp;Anmeldung!$E$22&amp;" / "&amp;Anmeldung!$G$22&amp;" / "&amp;Anmeldung!$J$22)&lt;&gt;Anmeldung!$R$36),Anmeldung!$B$22&amp;": "&amp;Anmeldung!$D$22&amp;", "&amp;Anmeldung!$E$22&amp;" / "&amp;Anmeldung!$G$22&amp;" / "&amp;Anmeldung!$J$22,"")</f>
        <v/>
      </c>
      <c r="ET9" t="str">
        <f>IF(AND(14&lt;&gt;28,Anmeldung!$D$22&lt;&gt;"",Anmeldung!$U$22="Ja",Anmeldung!$G$22=Anmeldung!$G$36,Anmeldung!$J$22=Anmeldung!$J$36),Anmeldung!$B$22&amp;": "&amp;Anmeldung!$D$22&amp;", "&amp;Anmeldung!$E$22&amp;" / "&amp;Anmeldung!$G$22&amp;" / "&amp;Anmeldung!$J$22,"")</f>
        <v/>
      </c>
      <c r="EW9" t="str">
        <f>IF(AND(15&lt;&gt;30,Anmeldung!$D$22&lt;&gt;"",Anmeldung!$G$22=Anmeldung!$G$37,Anmeldung!$J$22=Anmeldung!$J$37),Anmeldung!$B$22&amp;": "&amp;Anmeldung!$D$22&amp;", "&amp;Anmeldung!$E$22&amp;" / "&amp;Anmeldung!$G$22&amp;" / "&amp;Anmeldung!$J$22,"")</f>
        <v/>
      </c>
      <c r="EX9" t="str">
        <f>IF(AND(15&lt;&gt;30,Anmeldung!$D$22&lt;&gt;"",Anmeldung!$G$22=Anmeldung!$G$37,Anmeldung!$J$22=Anmeldung!$J$37,(Anmeldung!$B$22&amp;": "&amp;Anmeldung!$D$22&amp;", "&amp;Anmeldung!$E$22&amp;" / "&amp;Anmeldung!$G$22&amp;" / "&amp;Anmeldung!$J$22)&lt;&gt;Anmeldung!$P$37),Anmeldung!$B$22&amp;": "&amp;Anmeldung!$D$22&amp;", "&amp;Anmeldung!$E$22&amp;" / "&amp;Anmeldung!$G$22&amp;" / "&amp;Anmeldung!$J$22,"")</f>
        <v/>
      </c>
      <c r="EY9" t="str">
        <f>IF(AND(15&lt;&gt;30,Anmeldung!$D$22&lt;&gt;"",Anmeldung!$G$22=Anmeldung!$G$37,Anmeldung!$J$22=Anmeldung!$J$37,(Anmeldung!$B$22&amp;": "&amp;Anmeldung!$D$22&amp;", "&amp;Anmeldung!$E$22&amp;" / "&amp;Anmeldung!$G$22&amp;" / "&amp;Anmeldung!$J$22)&lt;&gt;Anmeldung!$O$37),Anmeldung!$B$22&amp;": "&amp;Anmeldung!$D$22&amp;", "&amp;Anmeldung!$E$22&amp;" / "&amp;Anmeldung!$G$22&amp;" / "&amp;Anmeldung!$J$22,"")</f>
        <v/>
      </c>
      <c r="EZ9" t="str">
        <f>IF(AND(15&lt;&gt;30,Anmeldung!$D$22&lt;&gt;"",Anmeldung!$G$22&lt;&gt;Anmeldung!$G$37,(Anmeldung!$B$22&amp;": "&amp;Anmeldung!$D$22&amp;", "&amp;Anmeldung!$E$22&amp;" / "&amp;Anmeldung!$G$22&amp;" / "&amp;Anmeldung!$J$22)&lt;&gt;Anmeldung!$S$37),Anmeldung!$B$22&amp;": "&amp;Anmeldung!$D$22&amp;", "&amp;Anmeldung!$E$22&amp;" / "&amp;Anmeldung!$G$22&amp;" / "&amp;Anmeldung!$J$22,"")</f>
        <v/>
      </c>
      <c r="FA9" t="str">
        <f>IF(AND(15&lt;&gt;30,Anmeldung!$D$22&lt;&gt;"",(Anmeldung!$B$22&amp;": "&amp;Anmeldung!$D$22&amp;", "&amp;Anmeldung!$E$22&amp;" / "&amp;Anmeldung!$G$22&amp;" / "&amp;Anmeldung!$J$22)&lt;&gt;Anmeldung!$R$37),Anmeldung!$B$22&amp;": "&amp;Anmeldung!$D$22&amp;", "&amp;Anmeldung!$E$22&amp;" / "&amp;Anmeldung!$G$22&amp;" / "&amp;Anmeldung!$J$22,"")</f>
        <v/>
      </c>
      <c r="FB9" t="str">
        <f>IF(AND(14&lt;&gt;29,Anmeldung!$D$22&lt;&gt;"",Anmeldung!$U$22="Ja",Anmeldung!$G$22=Anmeldung!$G$37,Anmeldung!$J$22=Anmeldung!$J$37),Anmeldung!$B$22&amp;": "&amp;Anmeldung!$D$22&amp;", "&amp;Anmeldung!$E$22&amp;" / "&amp;Anmeldung!$G$22&amp;" / "&amp;Anmeldung!$J$22,"")</f>
        <v/>
      </c>
      <c r="FE9" t="str">
        <f>IF(AND(15&lt;&gt;31,Anmeldung!$D$22&lt;&gt;"",Anmeldung!$G$22=Anmeldung!$G$38,Anmeldung!$J$22=Anmeldung!$J$38),Anmeldung!$B$22&amp;": "&amp;Anmeldung!$D$22&amp;", "&amp;Anmeldung!$E$22&amp;" / "&amp;Anmeldung!$G$22&amp;" / "&amp;Anmeldung!$J$22,"")</f>
        <v/>
      </c>
      <c r="FF9" t="str">
        <f>IF(AND(15&lt;&gt;31,Anmeldung!$D$22&lt;&gt;"",Anmeldung!$G$22=Anmeldung!$G$38,Anmeldung!$J$22=Anmeldung!$J$38,(Anmeldung!$B$22&amp;": "&amp;Anmeldung!$D$22&amp;", "&amp;Anmeldung!$E$22&amp;" / "&amp;Anmeldung!$G$22&amp;" / "&amp;Anmeldung!$J$22)&lt;&gt;Anmeldung!$P$38),Anmeldung!$B$22&amp;": "&amp;Anmeldung!$D$22&amp;", "&amp;Anmeldung!$E$22&amp;" / "&amp;Anmeldung!$G$22&amp;" / "&amp;Anmeldung!$J$22,"")</f>
        <v/>
      </c>
      <c r="FG9" t="str">
        <f>IF(AND(15&lt;&gt;31,Anmeldung!$D$22&lt;&gt;"",Anmeldung!$G$22=Anmeldung!$G$38,Anmeldung!$J$22=Anmeldung!$J$38,(Anmeldung!$B$22&amp;": "&amp;Anmeldung!$D$22&amp;", "&amp;Anmeldung!$E$22&amp;" / "&amp;Anmeldung!$G$22&amp;" / "&amp;Anmeldung!$J$22)&lt;&gt;Anmeldung!$O$38),Anmeldung!$B$22&amp;": "&amp;Anmeldung!$D$22&amp;", "&amp;Anmeldung!$E$22&amp;" / "&amp;Anmeldung!$G$22&amp;" / "&amp;Anmeldung!$J$22,"")</f>
        <v/>
      </c>
      <c r="FH9" t="str">
        <f>IF(AND(15&lt;&gt;31,Anmeldung!$D$22&lt;&gt;"",Anmeldung!$G$22&lt;&gt;Anmeldung!$G$38,(Anmeldung!$B$22&amp;": "&amp;Anmeldung!$D$22&amp;", "&amp;Anmeldung!$E$22&amp;" / "&amp;Anmeldung!$G$22&amp;" / "&amp;Anmeldung!$J$22)&lt;&gt;Anmeldung!$S$38),Anmeldung!$B$22&amp;": "&amp;Anmeldung!$D$22&amp;", "&amp;Anmeldung!$E$22&amp;" / "&amp;Anmeldung!$G$22&amp;" / "&amp;Anmeldung!$J$22,"")</f>
        <v/>
      </c>
      <c r="FI9" t="str">
        <f>IF(AND(15&lt;&gt;31,Anmeldung!$D$22&lt;&gt;"",(Anmeldung!$B$22&amp;": "&amp;Anmeldung!$D$22&amp;", "&amp;Anmeldung!$E$22&amp;" / "&amp;Anmeldung!$G$22&amp;" / "&amp;Anmeldung!$J$22)&lt;&gt;Anmeldung!$R$38),Anmeldung!$B$22&amp;": "&amp;Anmeldung!$D$22&amp;", "&amp;Anmeldung!$E$22&amp;" / "&amp;Anmeldung!$G$22&amp;" / "&amp;Anmeldung!$J$22,"")</f>
        <v/>
      </c>
      <c r="FJ9" t="str">
        <f>IF(AND(14&lt;&gt;30,Anmeldung!$D$22&lt;&gt;"",Anmeldung!$U$22="Ja",Anmeldung!$G$22=Anmeldung!$G$38,Anmeldung!$J$22=Anmeldung!$J$38),Anmeldung!$B$22&amp;": "&amp;Anmeldung!$D$22&amp;", "&amp;Anmeldung!$E$22&amp;" / "&amp;Anmeldung!$G$22&amp;" / "&amp;Anmeldung!$J$22,"")</f>
        <v/>
      </c>
      <c r="FM9" t="str">
        <f>IF(AND(15&lt;&gt;32,Anmeldung!$D$22&lt;&gt;"",Anmeldung!$G$22=Anmeldung!$G$39,Anmeldung!$J$22=Anmeldung!$J$39),Anmeldung!$B$22&amp;": "&amp;Anmeldung!$D$22&amp;", "&amp;Anmeldung!$E$22&amp;" / "&amp;Anmeldung!$G$22&amp;" / "&amp;Anmeldung!$J$22,"")</f>
        <v/>
      </c>
      <c r="FN9" t="str">
        <f>IF(AND(15&lt;&gt;32,Anmeldung!$D$22&lt;&gt;"",Anmeldung!$G$22=Anmeldung!$G$39,Anmeldung!$J$22=Anmeldung!$J$39,(Anmeldung!$B$22&amp;": "&amp;Anmeldung!$D$22&amp;", "&amp;Anmeldung!$E$22&amp;" / "&amp;Anmeldung!$G$22&amp;" / "&amp;Anmeldung!$J$22)&lt;&gt;Anmeldung!$P$39),Anmeldung!$B$22&amp;": "&amp;Anmeldung!$D$22&amp;", "&amp;Anmeldung!$E$22&amp;" / "&amp;Anmeldung!$G$22&amp;" / "&amp;Anmeldung!$J$22,"")</f>
        <v/>
      </c>
      <c r="FO9" t="str">
        <f>IF(AND(15&lt;&gt;32,Anmeldung!$D$22&lt;&gt;"",Anmeldung!$G$22=Anmeldung!$G$39,Anmeldung!$J$22=Anmeldung!$J$39,(Anmeldung!$B$22&amp;": "&amp;Anmeldung!$D$22&amp;", "&amp;Anmeldung!$E$22&amp;" / "&amp;Anmeldung!$G$22&amp;" / "&amp;Anmeldung!$J$22)&lt;&gt;Anmeldung!$O$39),Anmeldung!$B$22&amp;": "&amp;Anmeldung!$D$22&amp;", "&amp;Anmeldung!$E$22&amp;" / "&amp;Anmeldung!$G$22&amp;" / "&amp;Anmeldung!$J$22,"")</f>
        <v/>
      </c>
      <c r="FP9" t="str">
        <f>IF(AND(15&lt;&gt;32,Anmeldung!$D$22&lt;&gt;"",Anmeldung!$G$22&lt;&gt;Anmeldung!$G$39,(Anmeldung!$B$22&amp;": "&amp;Anmeldung!$D$22&amp;", "&amp;Anmeldung!$E$22&amp;" / "&amp;Anmeldung!$G$22&amp;" / "&amp;Anmeldung!$J$22)&lt;&gt;Anmeldung!$S$39),Anmeldung!$B$22&amp;": "&amp;Anmeldung!$D$22&amp;", "&amp;Anmeldung!$E$22&amp;" / "&amp;Anmeldung!$G$22&amp;" / "&amp;Anmeldung!$J$22,"")</f>
        <v/>
      </c>
      <c r="FQ9" t="str">
        <f>IF(AND(15&lt;&gt;32,Anmeldung!$D$22&lt;&gt;"",(Anmeldung!$B$22&amp;": "&amp;Anmeldung!$D$22&amp;", "&amp;Anmeldung!$E$22&amp;" / "&amp;Anmeldung!$G$22&amp;" / "&amp;Anmeldung!$J$22)&lt;&gt;Anmeldung!$R$39),Anmeldung!$B$22&amp;": "&amp;Anmeldung!$D$22&amp;", "&amp;Anmeldung!$E$22&amp;" / "&amp;Anmeldung!$G$22&amp;" / "&amp;Anmeldung!$J$22,"")</f>
        <v/>
      </c>
      <c r="FR9" t="str">
        <f>IF(AND(14&lt;&gt;31,Anmeldung!$D$22&lt;&gt;"",Anmeldung!$U$22="Ja",Anmeldung!$G$22=Anmeldung!$G$39,Anmeldung!$J$22=Anmeldung!$J$39),Anmeldung!$B$22&amp;": "&amp;Anmeldung!$D$22&amp;", "&amp;Anmeldung!$E$22&amp;" / "&amp;Anmeldung!$G$22&amp;" / "&amp;Anmeldung!$J$22,"")</f>
        <v/>
      </c>
      <c r="FU9" t="str">
        <f>IF(AND(15&lt;&gt;33,Anmeldung!$D$22&lt;&gt;"",Anmeldung!$G$22=Anmeldung!$G$40,Anmeldung!$J$22=Anmeldung!$J$40),Anmeldung!$B$22&amp;": "&amp;Anmeldung!$D$22&amp;", "&amp;Anmeldung!$E$22&amp;" / "&amp;Anmeldung!$G$22&amp;" / "&amp;Anmeldung!$J$22,"")</f>
        <v/>
      </c>
      <c r="FV9" t="str">
        <f>IF(AND(15&lt;&gt;33,Anmeldung!$D$22&lt;&gt;"",Anmeldung!$G$22=Anmeldung!$G$40,Anmeldung!$J$22=Anmeldung!$J$40,(Anmeldung!$B$22&amp;": "&amp;Anmeldung!$D$22&amp;", "&amp;Anmeldung!$E$22&amp;" / "&amp;Anmeldung!$G$22&amp;" / "&amp;Anmeldung!$J$22)&lt;&gt;Anmeldung!$P$40),Anmeldung!$B$22&amp;": "&amp;Anmeldung!$D$22&amp;", "&amp;Anmeldung!$E$22&amp;" / "&amp;Anmeldung!$G$22&amp;" / "&amp;Anmeldung!$J$22,"")</f>
        <v/>
      </c>
      <c r="FW9" t="str">
        <f>IF(AND(15&lt;&gt;33,Anmeldung!$D$22&lt;&gt;"",Anmeldung!$G$22=Anmeldung!$G$40,Anmeldung!$J$22=Anmeldung!$J$40,(Anmeldung!$B$22&amp;": "&amp;Anmeldung!$D$22&amp;", "&amp;Anmeldung!$E$22&amp;" / "&amp;Anmeldung!$G$22&amp;" / "&amp;Anmeldung!$J$22)&lt;&gt;Anmeldung!$O$40),Anmeldung!$B$22&amp;": "&amp;Anmeldung!$D$22&amp;", "&amp;Anmeldung!$E$22&amp;" / "&amp;Anmeldung!$G$22&amp;" / "&amp;Anmeldung!$J$22,"")</f>
        <v/>
      </c>
      <c r="FX9" t="str">
        <f>IF(AND(15&lt;&gt;33,Anmeldung!$D$22&lt;&gt;"",Anmeldung!$G$22&lt;&gt;Anmeldung!$G$40,(Anmeldung!$B$22&amp;": "&amp;Anmeldung!$D$22&amp;", "&amp;Anmeldung!$E$22&amp;" / "&amp;Anmeldung!$G$22&amp;" / "&amp;Anmeldung!$J$22)&lt;&gt;Anmeldung!$S$40),Anmeldung!$B$22&amp;": "&amp;Anmeldung!$D$22&amp;", "&amp;Anmeldung!$E$22&amp;" / "&amp;Anmeldung!$G$22&amp;" / "&amp;Anmeldung!$J$22,"")</f>
        <v/>
      </c>
      <c r="FY9" t="str">
        <f>IF(AND(15&lt;&gt;33,Anmeldung!$D$22&lt;&gt;"",(Anmeldung!$B$22&amp;": "&amp;Anmeldung!$D$22&amp;", "&amp;Anmeldung!$E$22&amp;" / "&amp;Anmeldung!$G$22&amp;" / "&amp;Anmeldung!$J$22)&lt;&gt;Anmeldung!$R$40),Anmeldung!$B$22&amp;": "&amp;Anmeldung!$D$22&amp;", "&amp;Anmeldung!$E$22&amp;" / "&amp;Anmeldung!$G$22&amp;" / "&amp;Anmeldung!$J$22,"")</f>
        <v/>
      </c>
      <c r="FZ9" t="str">
        <f>IF(AND(14&lt;&gt;32,Anmeldung!$D$22&lt;&gt;"",Anmeldung!$U$22="Ja",Anmeldung!$G$22=Anmeldung!$G$40,Anmeldung!$J$22=Anmeldung!$J$40),Anmeldung!$B$22&amp;": "&amp;Anmeldung!$D$22&amp;", "&amp;Anmeldung!$E$22&amp;" / "&amp;Anmeldung!$G$22&amp;" / "&amp;Anmeldung!$J$22,"")</f>
        <v/>
      </c>
      <c r="GC9" t="str">
        <f>IF(AND(15&lt;&gt;34,Anmeldung!$D$22&lt;&gt;"",Anmeldung!$G$22=Anmeldung!$G$41,Anmeldung!$J$22=Anmeldung!$J$41),Anmeldung!$B$22&amp;": "&amp;Anmeldung!$D$22&amp;", "&amp;Anmeldung!$E$22&amp;" / "&amp;Anmeldung!$G$22&amp;" / "&amp;Anmeldung!$J$22,"")</f>
        <v/>
      </c>
      <c r="GD9" t="str">
        <f>IF(AND(15&lt;&gt;34,Anmeldung!$D$22&lt;&gt;"",Anmeldung!$G$22=Anmeldung!$G$41,Anmeldung!$J$22=Anmeldung!$J$41,(Anmeldung!$B$22&amp;": "&amp;Anmeldung!$D$22&amp;", "&amp;Anmeldung!$E$22&amp;" / "&amp;Anmeldung!$G$22&amp;" / "&amp;Anmeldung!$J$22)&lt;&gt;Anmeldung!$P$41),Anmeldung!$B$22&amp;": "&amp;Anmeldung!$D$22&amp;", "&amp;Anmeldung!$E$22&amp;" / "&amp;Anmeldung!$G$22&amp;" / "&amp;Anmeldung!$J$22,"")</f>
        <v/>
      </c>
      <c r="GE9" t="str">
        <f>IF(AND(15&lt;&gt;34,Anmeldung!$D$22&lt;&gt;"",Anmeldung!$G$22=Anmeldung!$G$41,Anmeldung!$J$22=Anmeldung!$J$41,(Anmeldung!$B$22&amp;": "&amp;Anmeldung!$D$22&amp;", "&amp;Anmeldung!$E$22&amp;" / "&amp;Anmeldung!$G$22&amp;" / "&amp;Anmeldung!$J$22)&lt;&gt;Anmeldung!$O$41),Anmeldung!$B$22&amp;": "&amp;Anmeldung!$D$22&amp;", "&amp;Anmeldung!$E$22&amp;" / "&amp;Anmeldung!$G$22&amp;" / "&amp;Anmeldung!$J$22,"")</f>
        <v/>
      </c>
      <c r="GF9" t="str">
        <f>IF(AND(15&lt;&gt;34,Anmeldung!$D$22&lt;&gt;"",Anmeldung!$G$22&lt;&gt;Anmeldung!$G$41,(Anmeldung!$B$22&amp;": "&amp;Anmeldung!$D$22&amp;", "&amp;Anmeldung!$E$22&amp;" / "&amp;Anmeldung!$G$22&amp;" / "&amp;Anmeldung!$J$22)&lt;&gt;Anmeldung!$S$41),Anmeldung!$B$22&amp;": "&amp;Anmeldung!$D$22&amp;", "&amp;Anmeldung!$E$22&amp;" / "&amp;Anmeldung!$G$22&amp;" / "&amp;Anmeldung!$J$22,"")</f>
        <v/>
      </c>
      <c r="GG9" t="str">
        <f>IF(AND(15&lt;&gt;34,Anmeldung!$D$22&lt;&gt;"",(Anmeldung!$B$22&amp;": "&amp;Anmeldung!$D$22&amp;", "&amp;Anmeldung!$E$22&amp;" / "&amp;Anmeldung!$G$22&amp;" / "&amp;Anmeldung!$J$22)&lt;&gt;Anmeldung!$R$41),Anmeldung!$B$22&amp;": "&amp;Anmeldung!$D$22&amp;", "&amp;Anmeldung!$E$22&amp;" / "&amp;Anmeldung!$G$22&amp;" / "&amp;Anmeldung!$J$22,"")</f>
        <v/>
      </c>
      <c r="GH9" t="str">
        <f>IF(AND(14&lt;&gt;33,Anmeldung!$D$22&lt;&gt;"",Anmeldung!$U$22="Ja",Anmeldung!$G$22=Anmeldung!$G$41,Anmeldung!$J$22=Anmeldung!$J$41),Anmeldung!$B$22&amp;": "&amp;Anmeldung!$D$22&amp;", "&amp;Anmeldung!$E$22&amp;" / "&amp;Anmeldung!$G$22&amp;" / "&amp;Anmeldung!$J$22,"")</f>
        <v/>
      </c>
      <c r="GK9" t="str">
        <f>IF(AND(15&lt;&gt;35,Anmeldung!$D$22&lt;&gt;"",Anmeldung!$G$22=Anmeldung!$G$42,Anmeldung!$J$22=Anmeldung!$J$42),Anmeldung!$B$22&amp;": "&amp;Anmeldung!$D$22&amp;", "&amp;Anmeldung!$E$22&amp;" / "&amp;Anmeldung!$G$22&amp;" / "&amp;Anmeldung!$J$22,"")</f>
        <v/>
      </c>
      <c r="GL9" t="str">
        <f>IF(AND(15&lt;&gt;35,Anmeldung!$D$22&lt;&gt;"",Anmeldung!$G$22=Anmeldung!$G$42,Anmeldung!$J$22=Anmeldung!$J$42,(Anmeldung!$B$22&amp;": "&amp;Anmeldung!$D$22&amp;", "&amp;Anmeldung!$E$22&amp;" / "&amp;Anmeldung!$G$22&amp;" / "&amp;Anmeldung!$J$22)&lt;&gt;Anmeldung!$P$42),Anmeldung!$B$22&amp;": "&amp;Anmeldung!$D$22&amp;", "&amp;Anmeldung!$E$22&amp;" / "&amp;Anmeldung!$G$22&amp;" / "&amp;Anmeldung!$J$22,"")</f>
        <v/>
      </c>
      <c r="GM9" t="str">
        <f>IF(AND(15&lt;&gt;35,Anmeldung!$D$22&lt;&gt;"",Anmeldung!$G$22=Anmeldung!$G$42,Anmeldung!$J$22=Anmeldung!$J$42,(Anmeldung!$B$22&amp;": "&amp;Anmeldung!$D$22&amp;", "&amp;Anmeldung!$E$22&amp;" / "&amp;Anmeldung!$G$22&amp;" / "&amp;Anmeldung!$J$22)&lt;&gt;Anmeldung!$O$42),Anmeldung!$B$22&amp;": "&amp;Anmeldung!$D$22&amp;", "&amp;Anmeldung!$E$22&amp;" / "&amp;Anmeldung!$G$22&amp;" / "&amp;Anmeldung!$J$22,"")</f>
        <v/>
      </c>
      <c r="GN9" t="str">
        <f>IF(AND(15&lt;&gt;35,Anmeldung!$D$22&lt;&gt;"",Anmeldung!$G$22&lt;&gt;Anmeldung!$G$42,(Anmeldung!$B$22&amp;": "&amp;Anmeldung!$D$22&amp;", "&amp;Anmeldung!$E$22&amp;" / "&amp;Anmeldung!$G$22&amp;" / "&amp;Anmeldung!$J$22)&lt;&gt;Anmeldung!$S$42),Anmeldung!$B$22&amp;": "&amp;Anmeldung!$D$22&amp;", "&amp;Anmeldung!$E$22&amp;" / "&amp;Anmeldung!$G$22&amp;" / "&amp;Anmeldung!$J$22,"")</f>
        <v/>
      </c>
      <c r="GO9" t="str">
        <f>IF(AND(15&lt;&gt;35,Anmeldung!$D$22&lt;&gt;"",(Anmeldung!$B$22&amp;": "&amp;Anmeldung!$D$22&amp;", "&amp;Anmeldung!$E$22&amp;" / "&amp;Anmeldung!$G$22&amp;" / "&amp;Anmeldung!$J$22)&lt;&gt;Anmeldung!$R$42),Anmeldung!$B$22&amp;": "&amp;Anmeldung!$D$22&amp;", "&amp;Anmeldung!$E$22&amp;" / "&amp;Anmeldung!$G$22&amp;" / "&amp;Anmeldung!$J$22,"")</f>
        <v/>
      </c>
      <c r="GP9" t="str">
        <f>IF(AND(14&lt;&gt;34,Anmeldung!$D$22&lt;&gt;"",Anmeldung!$U$22="Ja",Anmeldung!$G$22=Anmeldung!$G$42,Anmeldung!$J$22=Anmeldung!$J$42),Anmeldung!$B$22&amp;": "&amp;Anmeldung!$D$22&amp;", "&amp;Anmeldung!$E$22&amp;" / "&amp;Anmeldung!$G$22&amp;" / "&amp;Anmeldung!$J$22,"")</f>
        <v/>
      </c>
      <c r="GS9" t="str">
        <f>IF(AND(15&lt;&gt;36,Anmeldung!$D$22&lt;&gt;"",Anmeldung!$G$22=Anmeldung!$G$43,Anmeldung!$J$22=Anmeldung!$J$43),Anmeldung!$B$22&amp;": "&amp;Anmeldung!$D$22&amp;", "&amp;Anmeldung!$E$22&amp;" / "&amp;Anmeldung!$G$22&amp;" / "&amp;Anmeldung!$J$22,"")</f>
        <v/>
      </c>
      <c r="GT9" t="str">
        <f>IF(AND(15&lt;&gt;36,Anmeldung!$D$22&lt;&gt;"",Anmeldung!$G$22=Anmeldung!$G$43,Anmeldung!$J$22=Anmeldung!$J$43,(Anmeldung!$B$22&amp;": "&amp;Anmeldung!$D$22&amp;", "&amp;Anmeldung!$E$22&amp;" / "&amp;Anmeldung!$G$22&amp;" / "&amp;Anmeldung!$J$22)&lt;&gt;Anmeldung!$P$43),Anmeldung!$B$22&amp;": "&amp;Anmeldung!$D$22&amp;", "&amp;Anmeldung!$E$22&amp;" / "&amp;Anmeldung!$G$22&amp;" / "&amp;Anmeldung!$J$22,"")</f>
        <v/>
      </c>
      <c r="GU9" t="str">
        <f>IF(AND(15&lt;&gt;36,Anmeldung!$D$22&lt;&gt;"",Anmeldung!$G$22=Anmeldung!$G$43,Anmeldung!$J$22=Anmeldung!$J$43,(Anmeldung!$B$22&amp;": "&amp;Anmeldung!$D$22&amp;", "&amp;Anmeldung!$E$22&amp;" / "&amp;Anmeldung!$G$22&amp;" / "&amp;Anmeldung!$J$22)&lt;&gt;Anmeldung!$O$43),Anmeldung!$B$22&amp;": "&amp;Anmeldung!$D$22&amp;", "&amp;Anmeldung!$E$22&amp;" / "&amp;Anmeldung!$G$22&amp;" / "&amp;Anmeldung!$J$22,"")</f>
        <v/>
      </c>
      <c r="GV9" t="str">
        <f>IF(AND(15&lt;&gt;36,Anmeldung!$D$22&lt;&gt;"",Anmeldung!$G$22&lt;&gt;Anmeldung!$G$43,(Anmeldung!$B$22&amp;": "&amp;Anmeldung!$D$22&amp;", "&amp;Anmeldung!$E$22&amp;" / "&amp;Anmeldung!$G$22&amp;" / "&amp;Anmeldung!$J$22)&lt;&gt;Anmeldung!$S$43),Anmeldung!$B$22&amp;": "&amp;Anmeldung!$D$22&amp;", "&amp;Anmeldung!$E$22&amp;" / "&amp;Anmeldung!$G$22&amp;" / "&amp;Anmeldung!$J$22,"")</f>
        <v/>
      </c>
      <c r="GW9" t="str">
        <f>IF(AND(15&lt;&gt;36,Anmeldung!$D$22&lt;&gt;"",(Anmeldung!$B$22&amp;": "&amp;Anmeldung!$D$22&amp;", "&amp;Anmeldung!$E$22&amp;" / "&amp;Anmeldung!$G$22&amp;" / "&amp;Anmeldung!$J$22)&lt;&gt;Anmeldung!$R$43),Anmeldung!$B$22&amp;": "&amp;Anmeldung!$D$22&amp;", "&amp;Anmeldung!$E$22&amp;" / "&amp;Anmeldung!$G$22&amp;" / "&amp;Anmeldung!$J$22,"")</f>
        <v/>
      </c>
      <c r="GX9" t="str">
        <f>IF(AND(14&lt;&gt;35,Anmeldung!$D$22&lt;&gt;"",Anmeldung!$U$22="Ja",Anmeldung!$G$22=Anmeldung!$G$43,Anmeldung!$J$22=Anmeldung!$J$43),Anmeldung!$B$22&amp;": "&amp;Anmeldung!$D$22&amp;", "&amp;Anmeldung!$E$22&amp;" / "&amp;Anmeldung!$G$22&amp;" / "&amp;Anmeldung!$J$22,"")</f>
        <v/>
      </c>
      <c r="HA9" t="str">
        <f>IF(AND(15&lt;&gt;37,Anmeldung!$D$22&lt;&gt;"",Anmeldung!$G$22=Anmeldung!$G$44,Anmeldung!$J$22=Anmeldung!$J$44),Anmeldung!$B$22&amp;": "&amp;Anmeldung!$D$22&amp;", "&amp;Anmeldung!$E$22&amp;" / "&amp;Anmeldung!$G$22&amp;" / "&amp;Anmeldung!$J$22,"")</f>
        <v/>
      </c>
      <c r="HB9" t="str">
        <f>IF(AND(15&lt;&gt;37,Anmeldung!$D$22&lt;&gt;"",Anmeldung!$G$22=Anmeldung!$G$44,Anmeldung!$J$22=Anmeldung!$J$44,(Anmeldung!$B$22&amp;": "&amp;Anmeldung!$D$22&amp;", "&amp;Anmeldung!$E$22&amp;" / "&amp;Anmeldung!$G$22&amp;" / "&amp;Anmeldung!$J$22)&lt;&gt;Anmeldung!$P$44),Anmeldung!$B$22&amp;": "&amp;Anmeldung!$D$22&amp;", "&amp;Anmeldung!$E$22&amp;" / "&amp;Anmeldung!$G$22&amp;" / "&amp;Anmeldung!$J$22,"")</f>
        <v/>
      </c>
      <c r="HC9" t="str">
        <f>IF(AND(15&lt;&gt;37,Anmeldung!$D$22&lt;&gt;"",Anmeldung!$G$22=Anmeldung!$G$44,Anmeldung!$J$22=Anmeldung!$J$44,(Anmeldung!$B$22&amp;": "&amp;Anmeldung!$D$22&amp;", "&amp;Anmeldung!$E$22&amp;" / "&amp;Anmeldung!$G$22&amp;" / "&amp;Anmeldung!$J$22)&lt;&gt;Anmeldung!$O$44),Anmeldung!$B$22&amp;": "&amp;Anmeldung!$D$22&amp;", "&amp;Anmeldung!$E$22&amp;" / "&amp;Anmeldung!$G$22&amp;" / "&amp;Anmeldung!$J$22,"")</f>
        <v/>
      </c>
      <c r="HD9" t="str">
        <f>IF(AND(15&lt;&gt;37,Anmeldung!$D$22&lt;&gt;"",Anmeldung!$G$22&lt;&gt;Anmeldung!$G$44,(Anmeldung!$B$22&amp;": "&amp;Anmeldung!$D$22&amp;", "&amp;Anmeldung!$E$22&amp;" / "&amp;Anmeldung!$G$22&amp;" / "&amp;Anmeldung!$J$22)&lt;&gt;Anmeldung!$S$44),Anmeldung!$B$22&amp;": "&amp;Anmeldung!$D$22&amp;", "&amp;Anmeldung!$E$22&amp;" / "&amp;Anmeldung!$G$22&amp;" / "&amp;Anmeldung!$J$22,"")</f>
        <v/>
      </c>
      <c r="HE9" t="str">
        <f>IF(AND(15&lt;&gt;37,Anmeldung!$D$22&lt;&gt;"",(Anmeldung!$B$22&amp;": "&amp;Anmeldung!$D$22&amp;", "&amp;Anmeldung!$E$22&amp;" / "&amp;Anmeldung!$G$22&amp;" / "&amp;Anmeldung!$J$22)&lt;&gt;Anmeldung!$R$44),Anmeldung!$B$22&amp;": "&amp;Anmeldung!$D$22&amp;", "&amp;Anmeldung!$E$22&amp;" / "&amp;Anmeldung!$G$22&amp;" / "&amp;Anmeldung!$J$22,"")</f>
        <v/>
      </c>
      <c r="HF9" t="str">
        <f>IF(AND(14&lt;&gt;36,Anmeldung!$D$22&lt;&gt;"",Anmeldung!$U$22="Ja",Anmeldung!$G$22=Anmeldung!$G$44,Anmeldung!$J$22=Anmeldung!$J$44),Anmeldung!$B$22&amp;": "&amp;Anmeldung!$D$22&amp;", "&amp;Anmeldung!$E$22&amp;" / "&amp;Anmeldung!$G$22&amp;" / "&amp;Anmeldung!$J$22,"")</f>
        <v/>
      </c>
      <c r="HI9" t="str">
        <f>IF(AND(15&lt;&gt;38,Anmeldung!$D$22&lt;&gt;"",Anmeldung!$G$22=Anmeldung!$G$45,Anmeldung!$J$22=Anmeldung!$J$45),Anmeldung!$B$22&amp;": "&amp;Anmeldung!$D$22&amp;", "&amp;Anmeldung!$E$22&amp;" / "&amp;Anmeldung!$G$22&amp;" / "&amp;Anmeldung!$J$22,"")</f>
        <v/>
      </c>
      <c r="HJ9" t="str">
        <f>IF(AND(15&lt;&gt;38,Anmeldung!$D$22&lt;&gt;"",Anmeldung!$G$22=Anmeldung!$G$45,Anmeldung!$J$22=Anmeldung!$J$45,(Anmeldung!$B$22&amp;": "&amp;Anmeldung!$D$22&amp;", "&amp;Anmeldung!$E$22&amp;" / "&amp;Anmeldung!$G$22&amp;" / "&amp;Anmeldung!$J$22)&lt;&gt;Anmeldung!$P$45),Anmeldung!$B$22&amp;": "&amp;Anmeldung!$D$22&amp;", "&amp;Anmeldung!$E$22&amp;" / "&amp;Anmeldung!$G$22&amp;" / "&amp;Anmeldung!$J$22,"")</f>
        <v/>
      </c>
      <c r="HK9" t="str">
        <f>IF(AND(15&lt;&gt;38,Anmeldung!$D$22&lt;&gt;"",Anmeldung!$G$22=Anmeldung!$G$45,Anmeldung!$J$22=Anmeldung!$J$45,(Anmeldung!$B$22&amp;": "&amp;Anmeldung!$D$22&amp;", "&amp;Anmeldung!$E$22&amp;" / "&amp;Anmeldung!$G$22&amp;" / "&amp;Anmeldung!$J$22)&lt;&gt;Anmeldung!$O$45),Anmeldung!$B$22&amp;": "&amp;Anmeldung!$D$22&amp;", "&amp;Anmeldung!$E$22&amp;" / "&amp;Anmeldung!$G$22&amp;" / "&amp;Anmeldung!$J$22,"")</f>
        <v/>
      </c>
      <c r="HL9" t="str">
        <f>IF(AND(15&lt;&gt;38,Anmeldung!$D$22&lt;&gt;"",Anmeldung!$G$22&lt;&gt;Anmeldung!$G$45,(Anmeldung!$B$22&amp;": "&amp;Anmeldung!$D$22&amp;", "&amp;Anmeldung!$E$22&amp;" / "&amp;Anmeldung!$G$22&amp;" / "&amp;Anmeldung!$J$22)&lt;&gt;Anmeldung!$S$45),Anmeldung!$B$22&amp;": "&amp;Anmeldung!$D$22&amp;", "&amp;Anmeldung!$E$22&amp;" / "&amp;Anmeldung!$G$22&amp;" / "&amp;Anmeldung!$J$22,"")</f>
        <v/>
      </c>
      <c r="HM9" t="str">
        <f>IF(AND(15&lt;&gt;38,Anmeldung!$D$22&lt;&gt;"",(Anmeldung!$B$22&amp;": "&amp;Anmeldung!$D$22&amp;", "&amp;Anmeldung!$E$22&amp;" / "&amp;Anmeldung!$G$22&amp;" / "&amp;Anmeldung!$J$22)&lt;&gt;Anmeldung!$R$45),Anmeldung!$B$22&amp;": "&amp;Anmeldung!$D$22&amp;", "&amp;Anmeldung!$E$22&amp;" / "&amp;Anmeldung!$G$22&amp;" / "&amp;Anmeldung!$J$22,"")</f>
        <v/>
      </c>
      <c r="HN9" t="str">
        <f>IF(AND(14&lt;&gt;37,Anmeldung!$D$22&lt;&gt;"",Anmeldung!$U$22="Ja",Anmeldung!$G$22=Anmeldung!$G$45,Anmeldung!$J$22=Anmeldung!$J$45),Anmeldung!$B$22&amp;": "&amp;Anmeldung!$D$22&amp;", "&amp;Anmeldung!$E$22&amp;" / "&amp;Anmeldung!$G$22&amp;" / "&amp;Anmeldung!$J$22,"")</f>
        <v/>
      </c>
      <c r="HQ9" t="str">
        <f>IF(AND(15&lt;&gt;39,Anmeldung!$D$22&lt;&gt;"",Anmeldung!$G$22=Anmeldung!$G$46,Anmeldung!$J$22=Anmeldung!$J$46),Anmeldung!$B$22&amp;": "&amp;Anmeldung!$D$22&amp;", "&amp;Anmeldung!$E$22&amp;" / "&amp;Anmeldung!$G$22&amp;" / "&amp;Anmeldung!$J$22,"")</f>
        <v/>
      </c>
      <c r="HR9" t="str">
        <f>IF(AND(15&lt;&gt;39,Anmeldung!$D$22&lt;&gt;"",Anmeldung!$G$22=Anmeldung!$G$46,Anmeldung!$J$22=Anmeldung!$J$46,(Anmeldung!$B$22&amp;": "&amp;Anmeldung!$D$22&amp;", "&amp;Anmeldung!$E$22&amp;" / "&amp;Anmeldung!$G$22&amp;" / "&amp;Anmeldung!$J$22)&lt;&gt;Anmeldung!$P$46),Anmeldung!$B$22&amp;": "&amp;Anmeldung!$D$22&amp;", "&amp;Anmeldung!$E$22&amp;" / "&amp;Anmeldung!$G$22&amp;" / "&amp;Anmeldung!$J$22,"")</f>
        <v/>
      </c>
      <c r="HS9" t="str">
        <f>IF(AND(15&lt;&gt;39,Anmeldung!$D$22&lt;&gt;"",Anmeldung!$G$22=Anmeldung!$G$46,Anmeldung!$J$22=Anmeldung!$J$46,(Anmeldung!$B$22&amp;": "&amp;Anmeldung!$D$22&amp;", "&amp;Anmeldung!$E$22&amp;" / "&amp;Anmeldung!$G$22&amp;" / "&amp;Anmeldung!$J$22)&lt;&gt;Anmeldung!$O$46),Anmeldung!$B$22&amp;": "&amp;Anmeldung!$D$22&amp;", "&amp;Anmeldung!$E$22&amp;" / "&amp;Anmeldung!$G$22&amp;" / "&amp;Anmeldung!$J$22,"")</f>
        <v/>
      </c>
      <c r="HT9" t="str">
        <f>IF(AND(15&lt;&gt;39,Anmeldung!$D$22&lt;&gt;"",Anmeldung!$G$22&lt;&gt;Anmeldung!$G$46,(Anmeldung!$B$22&amp;": "&amp;Anmeldung!$D$22&amp;", "&amp;Anmeldung!$E$22&amp;" / "&amp;Anmeldung!$G$22&amp;" / "&amp;Anmeldung!$J$22)&lt;&gt;Anmeldung!$S$46),Anmeldung!$B$22&amp;": "&amp;Anmeldung!$D$22&amp;", "&amp;Anmeldung!$E$22&amp;" / "&amp;Anmeldung!$G$22&amp;" / "&amp;Anmeldung!$J$22,"")</f>
        <v/>
      </c>
      <c r="HU9" t="str">
        <f>IF(AND(15&lt;&gt;39,Anmeldung!$D$22&lt;&gt;"",(Anmeldung!$B$22&amp;": "&amp;Anmeldung!$D$22&amp;", "&amp;Anmeldung!$E$22&amp;" / "&amp;Anmeldung!$G$22&amp;" / "&amp;Anmeldung!$J$22)&lt;&gt;Anmeldung!$R$46),Anmeldung!$B$22&amp;": "&amp;Anmeldung!$D$22&amp;", "&amp;Anmeldung!$E$22&amp;" / "&amp;Anmeldung!$G$22&amp;" / "&amp;Anmeldung!$J$22,"")</f>
        <v/>
      </c>
      <c r="HV9" t="str">
        <f>IF(AND(14&lt;&gt;38,Anmeldung!$D$22&lt;&gt;"",Anmeldung!$U$22="Ja",Anmeldung!$G$22=Anmeldung!$G$46,Anmeldung!$J$22=Anmeldung!$J$46),Anmeldung!$B$22&amp;": "&amp;Anmeldung!$D$22&amp;", "&amp;Anmeldung!$E$22&amp;" / "&amp;Anmeldung!$G$22&amp;" / "&amp;Anmeldung!$J$22,"")</f>
        <v/>
      </c>
      <c r="HY9" t="str">
        <f>IF(AND(15&lt;&gt;40,Anmeldung!$D$22&lt;&gt;"",Anmeldung!$G$22=Anmeldung!$G$47,Anmeldung!$J$22=Anmeldung!$J$47),Anmeldung!$B$22&amp;": "&amp;Anmeldung!$D$22&amp;", "&amp;Anmeldung!$E$22&amp;" / "&amp;Anmeldung!$G$22&amp;" / "&amp;Anmeldung!$J$22,"")</f>
        <v/>
      </c>
      <c r="HZ9" t="str">
        <f>IF(AND(15&lt;&gt;40,Anmeldung!$D$22&lt;&gt;"",Anmeldung!$G$22=Anmeldung!$G$47,Anmeldung!$J$22=Anmeldung!$J$47,(Anmeldung!$B$22&amp;": "&amp;Anmeldung!$D$22&amp;", "&amp;Anmeldung!$E$22&amp;" / "&amp;Anmeldung!$G$22&amp;" / "&amp;Anmeldung!$J$22)&lt;&gt;Anmeldung!$P$47),Anmeldung!$B$22&amp;": "&amp;Anmeldung!$D$22&amp;", "&amp;Anmeldung!$E$22&amp;" / "&amp;Anmeldung!$G$22&amp;" / "&amp;Anmeldung!$J$22,"")</f>
        <v/>
      </c>
      <c r="IA9" t="str">
        <f>IF(AND(15&lt;&gt;40,Anmeldung!$D$22&lt;&gt;"",Anmeldung!$G$22=Anmeldung!$G$47,Anmeldung!$J$22=Anmeldung!$J$47,(Anmeldung!$B$22&amp;": "&amp;Anmeldung!$D$22&amp;", "&amp;Anmeldung!$E$22&amp;" / "&amp;Anmeldung!$G$22&amp;" / "&amp;Anmeldung!$J$22)&lt;&gt;Anmeldung!$O$47),Anmeldung!$B$22&amp;": "&amp;Anmeldung!$D$22&amp;", "&amp;Anmeldung!$E$22&amp;" / "&amp;Anmeldung!$G$22&amp;" / "&amp;Anmeldung!$J$22,"")</f>
        <v/>
      </c>
      <c r="IB9" t="str">
        <f>IF(AND(15&lt;&gt;40,Anmeldung!$D$22&lt;&gt;"",Anmeldung!$G$22&lt;&gt;Anmeldung!$G$47,(Anmeldung!$B$22&amp;": "&amp;Anmeldung!$D$22&amp;", "&amp;Anmeldung!$E$22&amp;" / "&amp;Anmeldung!$G$22&amp;" / "&amp;Anmeldung!$J$22)&lt;&gt;Anmeldung!$S$47),Anmeldung!$B$22&amp;": "&amp;Anmeldung!$D$22&amp;", "&amp;Anmeldung!$E$22&amp;" / "&amp;Anmeldung!$G$22&amp;" / "&amp;Anmeldung!$J$22,"")</f>
        <v/>
      </c>
      <c r="IC9" t="str">
        <f>IF(AND(15&lt;&gt;40,Anmeldung!$D$22&lt;&gt;"",(Anmeldung!$B$22&amp;": "&amp;Anmeldung!$D$22&amp;", "&amp;Anmeldung!$E$22&amp;" / "&amp;Anmeldung!$G$22&amp;" / "&amp;Anmeldung!$J$22)&lt;&gt;Anmeldung!$R$47),Anmeldung!$B$22&amp;": "&amp;Anmeldung!$D$22&amp;", "&amp;Anmeldung!$E$22&amp;" / "&amp;Anmeldung!$G$22&amp;" / "&amp;Anmeldung!$J$22,"")</f>
        <v/>
      </c>
      <c r="ID9" t="str">
        <f>IF(AND(14&lt;&gt;39,Anmeldung!$D$22&lt;&gt;"",Anmeldung!$U$22="Ja",Anmeldung!$G$22=Anmeldung!$G$47,Anmeldung!$J$22=Anmeldung!$J$47),Anmeldung!$B$22&amp;": "&amp;Anmeldung!$D$22&amp;", "&amp;Anmeldung!$E$22&amp;" / "&amp;Anmeldung!$G$22&amp;" / "&amp;Anmeldung!$J$22,"")</f>
        <v/>
      </c>
    </row>
    <row r="10" spans="1:238" ht="14.25" customHeight="1" x14ac:dyDescent="0.3">
      <c r="A10" t="str">
        <f>IF(AND(16&lt;&gt;11,Anmeldung!$D$23&lt;&gt;"",Anmeldung!$G$23=Anmeldung!$G$18,Anmeldung!$J$23=Anmeldung!$J$18),Anmeldung!$B$23&amp;": "&amp;Anmeldung!$D$23&amp;", "&amp;Anmeldung!$E$23&amp;" / "&amp;Anmeldung!$G$23&amp;" / "&amp;Anmeldung!$J$23,"")</f>
        <v/>
      </c>
      <c r="B10" t="str">
        <f>IF(AND(16&lt;&gt;11,Anmeldung!$D$23&lt;&gt;"",Anmeldung!$G$23=Anmeldung!$G$18,Anmeldung!$J$23=Anmeldung!$J$18,(Anmeldung!$B$23&amp;": "&amp;Anmeldung!$D$23&amp;", "&amp;Anmeldung!$E$23&amp;" / "&amp;Anmeldung!$G$23&amp;" / "&amp;Anmeldung!$J$23)&lt;&gt;Anmeldung!$P$18),Anmeldung!$B$23&amp;": "&amp;Anmeldung!$D$23&amp;", "&amp;Anmeldung!$E$23&amp;" / "&amp;Anmeldung!$G$23&amp;" / "&amp;Anmeldung!$J$23,"")</f>
        <v/>
      </c>
      <c r="C10" t="str">
        <f>IF(AND(16&lt;&gt;11,Anmeldung!$D$23&lt;&gt;"",Anmeldung!$G$23=Anmeldung!$G$18,Anmeldung!$J$23=Anmeldung!$J$18,(Anmeldung!$B$23&amp;": "&amp;Anmeldung!$D$23&amp;", "&amp;Anmeldung!$E$23&amp;" / "&amp;Anmeldung!$G$23&amp;" / "&amp;Anmeldung!$J$23)&lt;&gt;Anmeldung!$O$18),Anmeldung!$B$23&amp;": "&amp;Anmeldung!$D$23&amp;", "&amp;Anmeldung!$E$23&amp;" / "&amp;Anmeldung!$G$23&amp;" / "&amp;Anmeldung!$J$23,"")</f>
        <v/>
      </c>
      <c r="D10" t="str">
        <f>IF(AND(16&lt;&gt;11,Anmeldung!$D$23&lt;&gt;"",Anmeldung!$G$23&lt;&gt;Anmeldung!$G$18,(Anmeldung!$B$23&amp;": "&amp;Anmeldung!$D$23&amp;", "&amp;Anmeldung!$E$23&amp;" / "&amp;Anmeldung!$G$23&amp;" / "&amp;Anmeldung!$J$23)&lt;&gt;Anmeldung!$S$18),Anmeldung!$B$23&amp;": "&amp;Anmeldung!$D$23&amp;", "&amp;Anmeldung!$E$23&amp;" / "&amp;Anmeldung!$G$23&amp;" / "&amp;Anmeldung!$J$23,"")</f>
        <v/>
      </c>
      <c r="E10" t="str">
        <f>IF(AND(16&lt;&gt;11,Anmeldung!$D$23&lt;&gt;"",(Anmeldung!$B$23&amp;": "&amp;Anmeldung!$D$23&amp;", "&amp;Anmeldung!$E$23&amp;" / "&amp;Anmeldung!$G$23&amp;" / "&amp;Anmeldung!$J$23)&lt;&gt;Anmeldung!$R$18),Anmeldung!$B$23&amp;": "&amp;Anmeldung!$D$23&amp;", "&amp;Anmeldung!$E$23&amp;" / "&amp;Anmeldung!$G$23&amp;" / "&amp;Anmeldung!$J$23,"")</f>
        <v/>
      </c>
      <c r="F10" t="str">
        <f>IF(AND(15&lt;&gt;10,Anmeldung!$D$23&lt;&gt;"",Anmeldung!$U$23="Ja",Anmeldung!$G$23=Anmeldung!$G$18,Anmeldung!$J$23=Anmeldung!$J$18),Anmeldung!$B$23&amp;": "&amp;Anmeldung!$D$23&amp;", "&amp;Anmeldung!$E$23&amp;" / "&amp;Anmeldung!$G$23&amp;" / "&amp;Anmeldung!$J$23,"")</f>
        <v/>
      </c>
      <c r="I10" t="str">
        <f>IF(AND(16&lt;&gt;12,Anmeldung!$D$23&lt;&gt;"",Anmeldung!$G$23=Anmeldung!$G$19,Anmeldung!$J$23=Anmeldung!$J$19),Anmeldung!$B$23&amp;": "&amp;Anmeldung!$D$23&amp;", "&amp;Anmeldung!$E$23&amp;" / "&amp;Anmeldung!$G$23&amp;" / "&amp;Anmeldung!$J$23,"")</f>
        <v/>
      </c>
      <c r="J10" t="str">
        <f>IF(AND(16&lt;&gt;12,Anmeldung!$D$23&lt;&gt;"",Anmeldung!$G$23=Anmeldung!$G$19,Anmeldung!$J$23=Anmeldung!$J$19,(Anmeldung!$B$23&amp;": "&amp;Anmeldung!$D$23&amp;", "&amp;Anmeldung!$E$23&amp;" / "&amp;Anmeldung!$G$23&amp;" / "&amp;Anmeldung!$J$23)&lt;&gt;Anmeldung!$P$19),Anmeldung!$B$23&amp;": "&amp;Anmeldung!$D$23&amp;", "&amp;Anmeldung!$E$23&amp;" / "&amp;Anmeldung!$G$23&amp;" / "&amp;Anmeldung!$J$23,"")</f>
        <v/>
      </c>
      <c r="K10" t="str">
        <f>IF(AND(16&lt;&gt;12,Anmeldung!$D$23&lt;&gt;"",Anmeldung!$G$23=Anmeldung!$G$19,Anmeldung!$J$23=Anmeldung!$J$19,(Anmeldung!$B$23&amp;": "&amp;Anmeldung!$D$23&amp;", "&amp;Anmeldung!$E$23&amp;" / "&amp;Anmeldung!$G$23&amp;" / "&amp;Anmeldung!$J$23)&lt;&gt;Anmeldung!$O$19),Anmeldung!$B$23&amp;": "&amp;Anmeldung!$D$23&amp;", "&amp;Anmeldung!$E$23&amp;" / "&amp;Anmeldung!$G$23&amp;" / "&amp;Anmeldung!$J$23,"")</f>
        <v/>
      </c>
      <c r="L10" t="str">
        <f>IF(AND(16&lt;&gt;12,Anmeldung!$D$23&lt;&gt;"",Anmeldung!$G$23&lt;&gt;Anmeldung!$G$19,(Anmeldung!$B$23&amp;": "&amp;Anmeldung!$D$23&amp;", "&amp;Anmeldung!$E$23&amp;" / "&amp;Anmeldung!$G$23&amp;" / "&amp;Anmeldung!$J$23)&lt;&gt;Anmeldung!$S$19),Anmeldung!$B$23&amp;": "&amp;Anmeldung!$D$23&amp;", "&amp;Anmeldung!$E$23&amp;" / "&amp;Anmeldung!$G$23&amp;" / "&amp;Anmeldung!$J$23,"")</f>
        <v/>
      </c>
      <c r="M10" t="str">
        <f>IF(AND(16&lt;&gt;12,Anmeldung!$D$23&lt;&gt;"",(Anmeldung!$B$23&amp;": "&amp;Anmeldung!$D$23&amp;", "&amp;Anmeldung!$E$23&amp;" / "&amp;Anmeldung!$G$23&amp;" / "&amp;Anmeldung!$J$23)&lt;&gt;Anmeldung!$R$19),Anmeldung!$B$23&amp;": "&amp;Anmeldung!$D$23&amp;", "&amp;Anmeldung!$E$23&amp;" / "&amp;Anmeldung!$G$23&amp;" / "&amp;Anmeldung!$J$23,"")</f>
        <v/>
      </c>
      <c r="N10" t="str">
        <f>IF(AND(15&lt;&gt;11,Anmeldung!$D$23&lt;&gt;"",Anmeldung!$U$23="Ja",Anmeldung!$G$23=Anmeldung!$G$19,Anmeldung!$J$23=Anmeldung!$J$19),Anmeldung!$B$23&amp;": "&amp;Anmeldung!$D$23&amp;", "&amp;Anmeldung!$E$23&amp;" / "&amp;Anmeldung!$G$23&amp;" / "&amp;Anmeldung!$J$23,"")</f>
        <v/>
      </c>
      <c r="Q10" t="str">
        <f>IF(AND(16&lt;&gt;13,Anmeldung!$D$23&lt;&gt;"",Anmeldung!$G$23=Anmeldung!$G$20,Anmeldung!$J$23=Anmeldung!$J$20),Anmeldung!$B$23&amp;": "&amp;Anmeldung!$D$23&amp;", "&amp;Anmeldung!$E$23&amp;" / "&amp;Anmeldung!$G$23&amp;" / "&amp;Anmeldung!$J$23,"")</f>
        <v/>
      </c>
      <c r="R10" t="str">
        <f>IF(AND(16&lt;&gt;13,Anmeldung!$D$23&lt;&gt;"",Anmeldung!$G$23=Anmeldung!$G$20,Anmeldung!$J$23=Anmeldung!$J$20,(Anmeldung!$B$23&amp;": "&amp;Anmeldung!$D$23&amp;", "&amp;Anmeldung!$E$23&amp;" / "&amp;Anmeldung!$G$23&amp;" / "&amp;Anmeldung!$J$23)&lt;&gt;Anmeldung!$P$20),Anmeldung!$B$23&amp;": "&amp;Anmeldung!$D$23&amp;", "&amp;Anmeldung!$E$23&amp;" / "&amp;Anmeldung!$G$23&amp;" / "&amp;Anmeldung!$J$23,"")</f>
        <v/>
      </c>
      <c r="S10" t="str">
        <f>IF(AND(16&lt;&gt;13,Anmeldung!$D$23&lt;&gt;"",Anmeldung!$G$23=Anmeldung!$G$20,Anmeldung!$J$23=Anmeldung!$J$20,(Anmeldung!$B$23&amp;": "&amp;Anmeldung!$D$23&amp;", "&amp;Anmeldung!$E$23&amp;" / "&amp;Anmeldung!$G$23&amp;" / "&amp;Anmeldung!$J$23)&lt;&gt;Anmeldung!$O$20),Anmeldung!$B$23&amp;": "&amp;Anmeldung!$D$23&amp;", "&amp;Anmeldung!$E$23&amp;" / "&amp;Anmeldung!$G$23&amp;" / "&amp;Anmeldung!$J$23,"")</f>
        <v/>
      </c>
      <c r="T10" t="str">
        <f>IF(AND(16&lt;&gt;13,Anmeldung!$D$23&lt;&gt;"",Anmeldung!$G$23&lt;&gt;Anmeldung!$G$20,(Anmeldung!$B$23&amp;": "&amp;Anmeldung!$D$23&amp;", "&amp;Anmeldung!$E$23&amp;" / "&amp;Anmeldung!$G$23&amp;" / "&amp;Anmeldung!$J$23)&lt;&gt;Anmeldung!$S$20),Anmeldung!$B$23&amp;": "&amp;Anmeldung!$D$23&amp;", "&amp;Anmeldung!$E$23&amp;" / "&amp;Anmeldung!$G$23&amp;" / "&amp;Anmeldung!$J$23,"")</f>
        <v/>
      </c>
      <c r="U10" t="str">
        <f>IF(AND(16&lt;&gt;13,Anmeldung!$D$23&lt;&gt;"",(Anmeldung!$B$23&amp;": "&amp;Anmeldung!$D$23&amp;", "&amp;Anmeldung!$E$23&amp;" / "&amp;Anmeldung!$G$23&amp;" / "&amp;Anmeldung!$J$23)&lt;&gt;Anmeldung!$R$20),Anmeldung!$B$23&amp;": "&amp;Anmeldung!$D$23&amp;", "&amp;Anmeldung!$E$23&amp;" / "&amp;Anmeldung!$G$23&amp;" / "&amp;Anmeldung!$J$23,"")</f>
        <v/>
      </c>
      <c r="V10" t="str">
        <f>IF(AND(15&lt;&gt;12,Anmeldung!$D$23&lt;&gt;"",Anmeldung!$U$23="Ja",Anmeldung!$G$23=Anmeldung!$G$20,Anmeldung!$J$23=Anmeldung!$J$20),Anmeldung!$B$23&amp;": "&amp;Anmeldung!$D$23&amp;", "&amp;Anmeldung!$E$23&amp;" / "&amp;Anmeldung!$G$23&amp;" / "&amp;Anmeldung!$J$23,"")</f>
        <v/>
      </c>
      <c r="Y10" t="str">
        <f>IF(AND(16&lt;&gt;14,Anmeldung!$D$23&lt;&gt;"",Anmeldung!$G$23=Anmeldung!$G$21,Anmeldung!$J$23=Anmeldung!$J$21),Anmeldung!$B$23&amp;": "&amp;Anmeldung!$D$23&amp;", "&amp;Anmeldung!$E$23&amp;" / "&amp;Anmeldung!$G$23&amp;" / "&amp;Anmeldung!$J$23,"")</f>
        <v/>
      </c>
      <c r="Z10" t="str">
        <f>IF(AND(16&lt;&gt;14,Anmeldung!$D$23&lt;&gt;"",Anmeldung!$G$23=Anmeldung!$G$21,Anmeldung!$J$23=Anmeldung!$J$21,(Anmeldung!$B$23&amp;": "&amp;Anmeldung!$D$23&amp;", "&amp;Anmeldung!$E$23&amp;" / "&amp;Anmeldung!$G$23&amp;" / "&amp;Anmeldung!$J$23)&lt;&gt;Anmeldung!$P$21),Anmeldung!$B$23&amp;": "&amp;Anmeldung!$D$23&amp;", "&amp;Anmeldung!$E$23&amp;" / "&amp;Anmeldung!$G$23&amp;" / "&amp;Anmeldung!$J$23,"")</f>
        <v/>
      </c>
      <c r="AA10" t="str">
        <f>IF(AND(16&lt;&gt;14,Anmeldung!$D$23&lt;&gt;"",Anmeldung!$G$23=Anmeldung!$G$21,Anmeldung!$J$23=Anmeldung!$J$21,(Anmeldung!$B$23&amp;": "&amp;Anmeldung!$D$23&amp;", "&amp;Anmeldung!$E$23&amp;" / "&amp;Anmeldung!$G$23&amp;" / "&amp;Anmeldung!$J$23)&lt;&gt;Anmeldung!$O$21),Anmeldung!$B$23&amp;": "&amp;Anmeldung!$D$23&amp;", "&amp;Anmeldung!$E$23&amp;" / "&amp;Anmeldung!$G$23&amp;" / "&amp;Anmeldung!$J$23,"")</f>
        <v/>
      </c>
      <c r="AB10" t="str">
        <f>IF(AND(16&lt;&gt;14,Anmeldung!$D$23&lt;&gt;"",Anmeldung!$G$23&lt;&gt;Anmeldung!$G$21,(Anmeldung!$B$23&amp;": "&amp;Anmeldung!$D$23&amp;", "&amp;Anmeldung!$E$23&amp;" / "&amp;Anmeldung!$G$23&amp;" / "&amp;Anmeldung!$J$23)&lt;&gt;Anmeldung!$S$21),Anmeldung!$B$23&amp;": "&amp;Anmeldung!$D$23&amp;", "&amp;Anmeldung!$E$23&amp;" / "&amp;Anmeldung!$G$23&amp;" / "&amp;Anmeldung!$J$23,"")</f>
        <v/>
      </c>
      <c r="AC10" t="str">
        <f>IF(AND(16&lt;&gt;14,Anmeldung!$D$23&lt;&gt;"",(Anmeldung!$B$23&amp;": "&amp;Anmeldung!$D$23&amp;", "&amp;Anmeldung!$E$23&amp;" / "&amp;Anmeldung!$G$23&amp;" / "&amp;Anmeldung!$J$23)&lt;&gt;Anmeldung!$R$21),Anmeldung!$B$23&amp;": "&amp;Anmeldung!$D$23&amp;", "&amp;Anmeldung!$E$23&amp;" / "&amp;Anmeldung!$G$23&amp;" / "&amp;Anmeldung!$J$23,"")</f>
        <v/>
      </c>
      <c r="AD10" t="str">
        <f>IF(AND(15&lt;&gt;13,Anmeldung!$D$23&lt;&gt;"",Anmeldung!$U$23="Ja",Anmeldung!$G$23=Anmeldung!$G$21,Anmeldung!$J$23=Anmeldung!$J$21),Anmeldung!$B$23&amp;": "&amp;Anmeldung!$D$23&amp;", "&amp;Anmeldung!$E$23&amp;" / "&amp;Anmeldung!$G$23&amp;" / "&amp;Anmeldung!$J$23,"")</f>
        <v/>
      </c>
      <c r="AG10" t="str">
        <f>IF(AND(16&lt;&gt;15,Anmeldung!$D$23&lt;&gt;"",Anmeldung!$G$23=Anmeldung!$G$22,Anmeldung!$J$23=Anmeldung!$J$22),Anmeldung!$B$23&amp;": "&amp;Anmeldung!$D$23&amp;", "&amp;Anmeldung!$E$23&amp;" / "&amp;Anmeldung!$G$23&amp;" / "&amp;Anmeldung!$J$23,"")</f>
        <v/>
      </c>
      <c r="AH10" t="str">
        <f>IF(AND(16&lt;&gt;15,Anmeldung!$D$23&lt;&gt;"",Anmeldung!$G$23=Anmeldung!$G$22,Anmeldung!$J$23=Anmeldung!$J$22,(Anmeldung!$B$23&amp;": "&amp;Anmeldung!$D$23&amp;", "&amp;Anmeldung!$E$23&amp;" / "&amp;Anmeldung!$G$23&amp;" / "&amp;Anmeldung!$J$23)&lt;&gt;Anmeldung!$P$22),Anmeldung!$B$23&amp;": "&amp;Anmeldung!$D$23&amp;", "&amp;Anmeldung!$E$23&amp;" / "&amp;Anmeldung!$G$23&amp;" / "&amp;Anmeldung!$J$23,"")</f>
        <v/>
      </c>
      <c r="AI10" t="str">
        <f>IF(AND(16&lt;&gt;15,Anmeldung!$D$23&lt;&gt;"",Anmeldung!$G$23=Anmeldung!$G$22,Anmeldung!$J$23=Anmeldung!$J$22,(Anmeldung!$B$23&amp;": "&amp;Anmeldung!$D$23&amp;", "&amp;Anmeldung!$E$23&amp;" / "&amp;Anmeldung!$G$23&amp;" / "&amp;Anmeldung!$J$23)&lt;&gt;Anmeldung!$O$22),Anmeldung!$B$23&amp;": "&amp;Anmeldung!$D$23&amp;", "&amp;Anmeldung!$E$23&amp;" / "&amp;Anmeldung!$G$23&amp;" / "&amp;Anmeldung!$J$23,"")</f>
        <v/>
      </c>
      <c r="AJ10" t="str">
        <f>IF(AND(16&lt;&gt;15,Anmeldung!$D$23&lt;&gt;"",Anmeldung!$G$23&lt;&gt;Anmeldung!$G$22,(Anmeldung!$B$23&amp;": "&amp;Anmeldung!$D$23&amp;", "&amp;Anmeldung!$E$23&amp;" / "&amp;Anmeldung!$G$23&amp;" / "&amp;Anmeldung!$J$23)&lt;&gt;Anmeldung!$S$22),Anmeldung!$B$23&amp;": "&amp;Anmeldung!$D$23&amp;", "&amp;Anmeldung!$E$23&amp;" / "&amp;Anmeldung!$G$23&amp;" / "&amp;Anmeldung!$J$23,"")</f>
        <v/>
      </c>
      <c r="AK10" t="str">
        <f>IF(AND(16&lt;&gt;15,Anmeldung!$D$23&lt;&gt;"",(Anmeldung!$B$23&amp;": "&amp;Anmeldung!$D$23&amp;", "&amp;Anmeldung!$E$23&amp;" / "&amp;Anmeldung!$G$23&amp;" / "&amp;Anmeldung!$J$23)&lt;&gt;Anmeldung!$R$22),Anmeldung!$B$23&amp;": "&amp;Anmeldung!$D$23&amp;", "&amp;Anmeldung!$E$23&amp;" / "&amp;Anmeldung!$G$23&amp;" / "&amp;Anmeldung!$J$23,"")</f>
        <v/>
      </c>
      <c r="AL10" t="str">
        <f>IF(AND(15&lt;&gt;14,Anmeldung!$D$23&lt;&gt;"",Anmeldung!$U$23="Ja",Anmeldung!$G$23=Anmeldung!$G$22,Anmeldung!$J$23=Anmeldung!$J$22),Anmeldung!$B$23&amp;": "&amp;Anmeldung!$D$23&amp;", "&amp;Anmeldung!$E$23&amp;" / "&amp;Anmeldung!$G$23&amp;" / "&amp;Anmeldung!$J$23,"")</f>
        <v/>
      </c>
      <c r="AO10" t="str">
        <f>IF(AND(16&lt;&gt;16,Anmeldung!$D$23&lt;&gt;"",Anmeldung!$G$23=Anmeldung!$G$23,Anmeldung!$J$23=Anmeldung!$J$23),Anmeldung!$B$23&amp;": "&amp;Anmeldung!$D$23&amp;", "&amp;Anmeldung!$E$23&amp;" / "&amp;Anmeldung!$G$23&amp;" / "&amp;Anmeldung!$J$23,"")</f>
        <v/>
      </c>
      <c r="AP10" t="str">
        <f>IF(AND(16&lt;&gt;16,Anmeldung!$D$23&lt;&gt;"",Anmeldung!$G$23=Anmeldung!$G$23,Anmeldung!$J$23=Anmeldung!$J$23,(Anmeldung!$B$23&amp;": "&amp;Anmeldung!$D$23&amp;", "&amp;Anmeldung!$E$23&amp;" / "&amp;Anmeldung!$G$23&amp;" / "&amp;Anmeldung!$J$23)&lt;&gt;Anmeldung!$P$23),Anmeldung!$B$23&amp;": "&amp;Anmeldung!$D$23&amp;", "&amp;Anmeldung!$E$23&amp;" / "&amp;Anmeldung!$G$23&amp;" / "&amp;Anmeldung!$J$23,"")</f>
        <v/>
      </c>
      <c r="AQ10" t="str">
        <f>IF(AND(16&lt;&gt;16,Anmeldung!$D$23&lt;&gt;"",Anmeldung!$G$23=Anmeldung!$G$23,Anmeldung!$J$23=Anmeldung!$J$23,(Anmeldung!$B$23&amp;": "&amp;Anmeldung!$D$23&amp;", "&amp;Anmeldung!$E$23&amp;" / "&amp;Anmeldung!$G$23&amp;" / "&amp;Anmeldung!$J$23)&lt;&gt;Anmeldung!$O$23),Anmeldung!$B$23&amp;": "&amp;Anmeldung!$D$23&amp;", "&amp;Anmeldung!$E$23&amp;" / "&amp;Anmeldung!$G$23&amp;" / "&amp;Anmeldung!$J$23,"")</f>
        <v/>
      </c>
      <c r="AR10" t="str">
        <f>IF(AND(16&lt;&gt;16,Anmeldung!$D$23&lt;&gt;"",Anmeldung!$G$23&lt;&gt;Anmeldung!$G$23,(Anmeldung!$B$23&amp;": "&amp;Anmeldung!$D$23&amp;", "&amp;Anmeldung!$E$23&amp;" / "&amp;Anmeldung!$G$23&amp;" / "&amp;Anmeldung!$J$23)&lt;&gt;Anmeldung!$S$23),Anmeldung!$B$23&amp;": "&amp;Anmeldung!$D$23&amp;", "&amp;Anmeldung!$E$23&amp;" / "&amp;Anmeldung!$G$23&amp;" / "&amp;Anmeldung!$J$23,"")</f>
        <v/>
      </c>
      <c r="AS10" t="str">
        <f>IF(AND(16&lt;&gt;16,Anmeldung!$D$23&lt;&gt;"",(Anmeldung!$B$23&amp;": "&amp;Anmeldung!$D$23&amp;", "&amp;Anmeldung!$E$23&amp;" / "&amp;Anmeldung!$G$23&amp;" / "&amp;Anmeldung!$J$23)&lt;&gt;Anmeldung!$R$23),Anmeldung!$B$23&amp;": "&amp;Anmeldung!$D$23&amp;", "&amp;Anmeldung!$E$23&amp;" / "&amp;Anmeldung!$G$23&amp;" / "&amp;Anmeldung!$J$23,"")</f>
        <v/>
      </c>
      <c r="AT10" t="str">
        <f>IF(AND(15&lt;&gt;15,Anmeldung!$D$23&lt;&gt;"",Anmeldung!$U$23="Ja",Anmeldung!$G$23=Anmeldung!$G$23,Anmeldung!$J$23=Anmeldung!$J$23),Anmeldung!$B$23&amp;": "&amp;Anmeldung!$D$23&amp;", "&amp;Anmeldung!$E$23&amp;" / "&amp;Anmeldung!$G$23&amp;" / "&amp;Anmeldung!$J$23,"")</f>
        <v/>
      </c>
      <c r="AW10" t="str">
        <f>IF(AND(16&lt;&gt;17,Anmeldung!$D$23&lt;&gt;"",Anmeldung!$G$23=Anmeldung!$G$24,Anmeldung!$J$23=Anmeldung!$J$24),Anmeldung!$B$23&amp;": "&amp;Anmeldung!$D$23&amp;", "&amp;Anmeldung!$E$23&amp;" / "&amp;Anmeldung!$G$23&amp;" / "&amp;Anmeldung!$J$23,"")</f>
        <v/>
      </c>
      <c r="AX10" t="str">
        <f>IF(AND(16&lt;&gt;17,Anmeldung!$D$23&lt;&gt;"",Anmeldung!$G$23=Anmeldung!$G$24,Anmeldung!$J$23=Anmeldung!$J$24,(Anmeldung!$B$23&amp;": "&amp;Anmeldung!$D$23&amp;", "&amp;Anmeldung!$E$23&amp;" / "&amp;Anmeldung!$G$23&amp;" / "&amp;Anmeldung!$J$23)&lt;&gt;Anmeldung!$P$24),Anmeldung!$B$23&amp;": "&amp;Anmeldung!$D$23&amp;", "&amp;Anmeldung!$E$23&amp;" / "&amp;Anmeldung!$G$23&amp;" / "&amp;Anmeldung!$J$23,"")</f>
        <v/>
      </c>
      <c r="AY10" t="str">
        <f>IF(AND(16&lt;&gt;17,Anmeldung!$D$23&lt;&gt;"",Anmeldung!$G$23=Anmeldung!$G$24,Anmeldung!$J$23=Anmeldung!$J$24,(Anmeldung!$B$23&amp;": "&amp;Anmeldung!$D$23&amp;", "&amp;Anmeldung!$E$23&amp;" / "&amp;Anmeldung!$G$23&amp;" / "&amp;Anmeldung!$J$23)&lt;&gt;Anmeldung!$O$24),Anmeldung!$B$23&amp;": "&amp;Anmeldung!$D$23&amp;", "&amp;Anmeldung!$E$23&amp;" / "&amp;Anmeldung!$G$23&amp;" / "&amp;Anmeldung!$J$23,"")</f>
        <v/>
      </c>
      <c r="AZ10" t="str">
        <f>IF(AND(16&lt;&gt;17,Anmeldung!$D$23&lt;&gt;"",Anmeldung!$G$23&lt;&gt;Anmeldung!$G$24,(Anmeldung!$B$23&amp;": "&amp;Anmeldung!$D$23&amp;", "&amp;Anmeldung!$E$23&amp;" / "&amp;Anmeldung!$G$23&amp;" / "&amp;Anmeldung!$J$23)&lt;&gt;Anmeldung!$S$24),Anmeldung!$B$23&amp;": "&amp;Anmeldung!$D$23&amp;", "&amp;Anmeldung!$E$23&amp;" / "&amp;Anmeldung!$G$23&amp;" / "&amp;Anmeldung!$J$23,"")</f>
        <v/>
      </c>
      <c r="BA10" t="str">
        <f>IF(AND(16&lt;&gt;17,Anmeldung!$D$23&lt;&gt;"",(Anmeldung!$B$23&amp;": "&amp;Anmeldung!$D$23&amp;", "&amp;Anmeldung!$E$23&amp;" / "&amp;Anmeldung!$G$23&amp;" / "&amp;Anmeldung!$J$23)&lt;&gt;Anmeldung!$R$24),Anmeldung!$B$23&amp;": "&amp;Anmeldung!$D$23&amp;", "&amp;Anmeldung!$E$23&amp;" / "&amp;Anmeldung!$G$23&amp;" / "&amp;Anmeldung!$J$23,"")</f>
        <v/>
      </c>
      <c r="BB10" t="str">
        <f>IF(AND(15&lt;&gt;16,Anmeldung!$D$23&lt;&gt;"",Anmeldung!$U$23="Ja",Anmeldung!$G$23=Anmeldung!$G$24,Anmeldung!$J$23=Anmeldung!$J$24),Anmeldung!$B$23&amp;": "&amp;Anmeldung!$D$23&amp;", "&amp;Anmeldung!$E$23&amp;" / "&amp;Anmeldung!$G$23&amp;" / "&amp;Anmeldung!$J$23,"")</f>
        <v/>
      </c>
      <c r="BE10" t="str">
        <f>IF(AND(16&lt;&gt;18,Anmeldung!$D$23&lt;&gt;"",Anmeldung!$G$23=Anmeldung!$G$25,Anmeldung!$J$23=Anmeldung!$J$25),Anmeldung!$B$23&amp;": "&amp;Anmeldung!$D$23&amp;", "&amp;Anmeldung!$E$23&amp;" / "&amp;Anmeldung!$G$23&amp;" / "&amp;Anmeldung!$J$23,"")</f>
        <v/>
      </c>
      <c r="BF10" t="str">
        <f>IF(AND(16&lt;&gt;18,Anmeldung!$D$23&lt;&gt;"",Anmeldung!$G$23=Anmeldung!$G$25,Anmeldung!$J$23=Anmeldung!$J$25,(Anmeldung!$B$23&amp;": "&amp;Anmeldung!$D$23&amp;", "&amp;Anmeldung!$E$23&amp;" / "&amp;Anmeldung!$G$23&amp;" / "&amp;Anmeldung!$J$23)&lt;&gt;Anmeldung!$P$25),Anmeldung!$B$23&amp;": "&amp;Anmeldung!$D$23&amp;", "&amp;Anmeldung!$E$23&amp;" / "&amp;Anmeldung!$G$23&amp;" / "&amp;Anmeldung!$J$23,"")</f>
        <v/>
      </c>
      <c r="BG10" t="str">
        <f>IF(AND(16&lt;&gt;18,Anmeldung!$D$23&lt;&gt;"",Anmeldung!$G$23=Anmeldung!$G$25,Anmeldung!$J$23=Anmeldung!$J$25,(Anmeldung!$B$23&amp;": "&amp;Anmeldung!$D$23&amp;", "&amp;Anmeldung!$E$23&amp;" / "&amp;Anmeldung!$G$23&amp;" / "&amp;Anmeldung!$J$23)&lt;&gt;Anmeldung!$O$25),Anmeldung!$B$23&amp;": "&amp;Anmeldung!$D$23&amp;", "&amp;Anmeldung!$E$23&amp;" / "&amp;Anmeldung!$G$23&amp;" / "&amp;Anmeldung!$J$23,"")</f>
        <v/>
      </c>
      <c r="BH10" t="str">
        <f>IF(AND(16&lt;&gt;18,Anmeldung!$D$23&lt;&gt;"",Anmeldung!$G$23&lt;&gt;Anmeldung!$G$25,(Anmeldung!$B$23&amp;": "&amp;Anmeldung!$D$23&amp;", "&amp;Anmeldung!$E$23&amp;" / "&amp;Anmeldung!$G$23&amp;" / "&amp;Anmeldung!$J$23)&lt;&gt;Anmeldung!$S$25),Anmeldung!$B$23&amp;": "&amp;Anmeldung!$D$23&amp;", "&amp;Anmeldung!$E$23&amp;" / "&amp;Anmeldung!$G$23&amp;" / "&amp;Anmeldung!$J$23,"")</f>
        <v/>
      </c>
      <c r="BI10" t="str">
        <f>IF(AND(16&lt;&gt;18,Anmeldung!$D$23&lt;&gt;"",(Anmeldung!$B$23&amp;": "&amp;Anmeldung!$D$23&amp;", "&amp;Anmeldung!$E$23&amp;" / "&amp;Anmeldung!$G$23&amp;" / "&amp;Anmeldung!$J$23)&lt;&gt;Anmeldung!$R$25),Anmeldung!$B$23&amp;": "&amp;Anmeldung!$D$23&amp;", "&amp;Anmeldung!$E$23&amp;" / "&amp;Anmeldung!$G$23&amp;" / "&amp;Anmeldung!$J$23,"")</f>
        <v/>
      </c>
      <c r="BJ10" t="str">
        <f>IF(AND(15&lt;&gt;17,Anmeldung!$D$23&lt;&gt;"",Anmeldung!$U$23="Ja",Anmeldung!$G$23=Anmeldung!$G$25,Anmeldung!$J$23=Anmeldung!$J$25),Anmeldung!$B$23&amp;": "&amp;Anmeldung!$D$23&amp;", "&amp;Anmeldung!$E$23&amp;" / "&amp;Anmeldung!$G$23&amp;" / "&amp;Anmeldung!$J$23,"")</f>
        <v/>
      </c>
      <c r="BM10" t="str">
        <f>IF(AND(16&lt;&gt;19,Anmeldung!$D$23&lt;&gt;"",Anmeldung!$G$23=Anmeldung!$G$26,Anmeldung!$J$23=Anmeldung!$J$26),Anmeldung!$B$23&amp;": "&amp;Anmeldung!$D$23&amp;", "&amp;Anmeldung!$E$23&amp;" / "&amp;Anmeldung!$G$23&amp;" / "&amp;Anmeldung!$J$23,"")</f>
        <v/>
      </c>
      <c r="BN10" t="str">
        <f>IF(AND(16&lt;&gt;19,Anmeldung!$D$23&lt;&gt;"",Anmeldung!$G$23=Anmeldung!$G$26,Anmeldung!$J$23=Anmeldung!$J$26,(Anmeldung!$B$23&amp;": "&amp;Anmeldung!$D$23&amp;", "&amp;Anmeldung!$E$23&amp;" / "&amp;Anmeldung!$G$23&amp;" / "&amp;Anmeldung!$J$23)&lt;&gt;Anmeldung!$P$26),Anmeldung!$B$23&amp;": "&amp;Anmeldung!$D$23&amp;", "&amp;Anmeldung!$E$23&amp;" / "&amp;Anmeldung!$G$23&amp;" / "&amp;Anmeldung!$J$23,"")</f>
        <v/>
      </c>
      <c r="BO10" t="str">
        <f>IF(AND(16&lt;&gt;19,Anmeldung!$D$23&lt;&gt;"",Anmeldung!$G$23=Anmeldung!$G$26,Anmeldung!$J$23=Anmeldung!$J$26,(Anmeldung!$B$23&amp;": "&amp;Anmeldung!$D$23&amp;", "&amp;Anmeldung!$E$23&amp;" / "&amp;Anmeldung!$G$23&amp;" / "&amp;Anmeldung!$J$23)&lt;&gt;Anmeldung!$O$26),Anmeldung!$B$23&amp;": "&amp;Anmeldung!$D$23&amp;", "&amp;Anmeldung!$E$23&amp;" / "&amp;Anmeldung!$G$23&amp;" / "&amp;Anmeldung!$J$23,"")</f>
        <v/>
      </c>
      <c r="BP10" t="str">
        <f>IF(AND(16&lt;&gt;19,Anmeldung!$D$23&lt;&gt;"",Anmeldung!$G$23&lt;&gt;Anmeldung!$G$26,(Anmeldung!$B$23&amp;": "&amp;Anmeldung!$D$23&amp;", "&amp;Anmeldung!$E$23&amp;" / "&amp;Anmeldung!$G$23&amp;" / "&amp;Anmeldung!$J$23)&lt;&gt;Anmeldung!$S$26),Anmeldung!$B$23&amp;": "&amp;Anmeldung!$D$23&amp;", "&amp;Anmeldung!$E$23&amp;" / "&amp;Anmeldung!$G$23&amp;" / "&amp;Anmeldung!$J$23,"")</f>
        <v/>
      </c>
      <c r="BQ10" t="str">
        <f>IF(AND(16&lt;&gt;19,Anmeldung!$D$23&lt;&gt;"",(Anmeldung!$B$23&amp;": "&amp;Anmeldung!$D$23&amp;", "&amp;Anmeldung!$E$23&amp;" / "&amp;Anmeldung!$G$23&amp;" / "&amp;Anmeldung!$J$23)&lt;&gt;Anmeldung!$R$26),Anmeldung!$B$23&amp;": "&amp;Anmeldung!$D$23&amp;", "&amp;Anmeldung!$E$23&amp;" / "&amp;Anmeldung!$G$23&amp;" / "&amp;Anmeldung!$J$23,"")</f>
        <v/>
      </c>
      <c r="BR10" t="str">
        <f>IF(AND(15&lt;&gt;18,Anmeldung!$D$23&lt;&gt;"",Anmeldung!$U$23="Ja",Anmeldung!$G$23=Anmeldung!$G$26,Anmeldung!$J$23=Anmeldung!$J$26),Anmeldung!$B$23&amp;": "&amp;Anmeldung!$D$23&amp;", "&amp;Anmeldung!$E$23&amp;" / "&amp;Anmeldung!$G$23&amp;" / "&amp;Anmeldung!$J$23,"")</f>
        <v/>
      </c>
      <c r="BU10" t="str">
        <f>IF(AND(16&lt;&gt;20,Anmeldung!$D$23&lt;&gt;"",Anmeldung!$G$23=Anmeldung!$G$27,Anmeldung!$J$23=Anmeldung!$J$27),Anmeldung!$B$23&amp;": "&amp;Anmeldung!$D$23&amp;", "&amp;Anmeldung!$E$23&amp;" / "&amp;Anmeldung!$G$23&amp;" / "&amp;Anmeldung!$J$23,"")</f>
        <v/>
      </c>
      <c r="BV10" t="str">
        <f>IF(AND(16&lt;&gt;20,Anmeldung!$D$23&lt;&gt;"",Anmeldung!$G$23=Anmeldung!$G$27,Anmeldung!$J$23=Anmeldung!$J$27,(Anmeldung!$B$23&amp;": "&amp;Anmeldung!$D$23&amp;", "&amp;Anmeldung!$E$23&amp;" / "&amp;Anmeldung!$G$23&amp;" / "&amp;Anmeldung!$J$23)&lt;&gt;Anmeldung!$P$27),Anmeldung!$B$23&amp;": "&amp;Anmeldung!$D$23&amp;", "&amp;Anmeldung!$E$23&amp;" / "&amp;Anmeldung!$G$23&amp;" / "&amp;Anmeldung!$J$23,"")</f>
        <v/>
      </c>
      <c r="BW10" t="str">
        <f>IF(AND(16&lt;&gt;20,Anmeldung!$D$23&lt;&gt;"",Anmeldung!$G$23=Anmeldung!$G$27,Anmeldung!$J$23=Anmeldung!$J$27,(Anmeldung!$B$23&amp;": "&amp;Anmeldung!$D$23&amp;", "&amp;Anmeldung!$E$23&amp;" / "&amp;Anmeldung!$G$23&amp;" / "&amp;Anmeldung!$J$23)&lt;&gt;Anmeldung!$O$27),Anmeldung!$B$23&amp;": "&amp;Anmeldung!$D$23&amp;", "&amp;Anmeldung!$E$23&amp;" / "&amp;Anmeldung!$G$23&amp;" / "&amp;Anmeldung!$J$23,"")</f>
        <v/>
      </c>
      <c r="BX10" t="str">
        <f>IF(AND(16&lt;&gt;20,Anmeldung!$D$23&lt;&gt;"",Anmeldung!$G$23&lt;&gt;Anmeldung!$G$27,(Anmeldung!$B$23&amp;": "&amp;Anmeldung!$D$23&amp;", "&amp;Anmeldung!$E$23&amp;" / "&amp;Anmeldung!$G$23&amp;" / "&amp;Anmeldung!$J$23)&lt;&gt;Anmeldung!$S$27),Anmeldung!$B$23&amp;": "&amp;Anmeldung!$D$23&amp;", "&amp;Anmeldung!$E$23&amp;" / "&amp;Anmeldung!$G$23&amp;" / "&amp;Anmeldung!$J$23,"")</f>
        <v/>
      </c>
      <c r="BY10" t="str">
        <f>IF(AND(16&lt;&gt;20,Anmeldung!$D$23&lt;&gt;"",(Anmeldung!$B$23&amp;": "&amp;Anmeldung!$D$23&amp;", "&amp;Anmeldung!$E$23&amp;" / "&amp;Anmeldung!$G$23&amp;" / "&amp;Anmeldung!$J$23)&lt;&gt;Anmeldung!$R$27),Anmeldung!$B$23&amp;": "&amp;Anmeldung!$D$23&amp;", "&amp;Anmeldung!$E$23&amp;" / "&amp;Anmeldung!$G$23&amp;" / "&amp;Anmeldung!$J$23,"")</f>
        <v/>
      </c>
      <c r="BZ10" t="str">
        <f>IF(AND(15&lt;&gt;19,Anmeldung!$D$23&lt;&gt;"",Anmeldung!$U$23="Ja",Anmeldung!$G$23=Anmeldung!$G$27,Anmeldung!$J$23=Anmeldung!$J$27),Anmeldung!$B$23&amp;": "&amp;Anmeldung!$D$23&amp;", "&amp;Anmeldung!$E$23&amp;" / "&amp;Anmeldung!$G$23&amp;" / "&amp;Anmeldung!$J$23,"")</f>
        <v/>
      </c>
      <c r="CC10" t="str">
        <f>IF(AND(16&lt;&gt;21,Anmeldung!$D$23&lt;&gt;"",Anmeldung!$G$23=Anmeldung!$G$28,Anmeldung!$J$23=Anmeldung!$J$28),Anmeldung!$B$23&amp;": "&amp;Anmeldung!$D$23&amp;", "&amp;Anmeldung!$E$23&amp;" / "&amp;Anmeldung!$G$23&amp;" / "&amp;Anmeldung!$J$23,"")</f>
        <v/>
      </c>
      <c r="CD10" t="str">
        <f>IF(AND(16&lt;&gt;21,Anmeldung!$D$23&lt;&gt;"",Anmeldung!$G$23=Anmeldung!$G$28,Anmeldung!$J$23=Anmeldung!$J$28,(Anmeldung!$B$23&amp;": "&amp;Anmeldung!$D$23&amp;", "&amp;Anmeldung!$E$23&amp;" / "&amp;Anmeldung!$G$23&amp;" / "&amp;Anmeldung!$J$23)&lt;&gt;Anmeldung!$P$28),Anmeldung!$B$23&amp;": "&amp;Anmeldung!$D$23&amp;", "&amp;Anmeldung!$E$23&amp;" / "&amp;Anmeldung!$G$23&amp;" / "&amp;Anmeldung!$J$23,"")</f>
        <v/>
      </c>
      <c r="CE10" t="str">
        <f>IF(AND(16&lt;&gt;21,Anmeldung!$D$23&lt;&gt;"",Anmeldung!$G$23=Anmeldung!$G$28,Anmeldung!$J$23=Anmeldung!$J$28,(Anmeldung!$B$23&amp;": "&amp;Anmeldung!$D$23&amp;", "&amp;Anmeldung!$E$23&amp;" / "&amp;Anmeldung!$G$23&amp;" / "&amp;Anmeldung!$J$23)&lt;&gt;Anmeldung!$O$28),Anmeldung!$B$23&amp;": "&amp;Anmeldung!$D$23&amp;", "&amp;Anmeldung!$E$23&amp;" / "&amp;Anmeldung!$G$23&amp;" / "&amp;Anmeldung!$J$23,"")</f>
        <v/>
      </c>
      <c r="CF10" t="str">
        <f>IF(AND(16&lt;&gt;21,Anmeldung!$D$23&lt;&gt;"",Anmeldung!$G$23&lt;&gt;Anmeldung!$G$28,(Anmeldung!$B$23&amp;": "&amp;Anmeldung!$D$23&amp;", "&amp;Anmeldung!$E$23&amp;" / "&amp;Anmeldung!$G$23&amp;" / "&amp;Anmeldung!$J$23)&lt;&gt;Anmeldung!$S$28),Anmeldung!$B$23&amp;": "&amp;Anmeldung!$D$23&amp;", "&amp;Anmeldung!$E$23&amp;" / "&amp;Anmeldung!$G$23&amp;" / "&amp;Anmeldung!$J$23,"")</f>
        <v/>
      </c>
      <c r="CG10" t="str">
        <f>IF(AND(16&lt;&gt;21,Anmeldung!$D$23&lt;&gt;"",(Anmeldung!$B$23&amp;": "&amp;Anmeldung!$D$23&amp;", "&amp;Anmeldung!$E$23&amp;" / "&amp;Anmeldung!$G$23&amp;" / "&amp;Anmeldung!$J$23)&lt;&gt;Anmeldung!$R$28),Anmeldung!$B$23&amp;": "&amp;Anmeldung!$D$23&amp;", "&amp;Anmeldung!$E$23&amp;" / "&amp;Anmeldung!$G$23&amp;" / "&amp;Anmeldung!$J$23,"")</f>
        <v/>
      </c>
      <c r="CH10" t="str">
        <f>IF(AND(15&lt;&gt;20,Anmeldung!$D$23&lt;&gt;"",Anmeldung!$U$23="Ja",Anmeldung!$G$23=Anmeldung!$G$28,Anmeldung!$J$23=Anmeldung!$J$28),Anmeldung!$B$23&amp;": "&amp;Anmeldung!$D$23&amp;", "&amp;Anmeldung!$E$23&amp;" / "&amp;Anmeldung!$G$23&amp;" / "&amp;Anmeldung!$J$23,"")</f>
        <v/>
      </c>
      <c r="CK10" t="str">
        <f>IF(AND(16&lt;&gt;22,Anmeldung!$D$23&lt;&gt;"",Anmeldung!$G$23=Anmeldung!$G$29,Anmeldung!$J$23=Anmeldung!$J$29),Anmeldung!$B$23&amp;": "&amp;Anmeldung!$D$23&amp;", "&amp;Anmeldung!$E$23&amp;" / "&amp;Anmeldung!$G$23&amp;" / "&amp;Anmeldung!$J$23,"")</f>
        <v/>
      </c>
      <c r="CL10" t="str">
        <f>IF(AND(16&lt;&gt;22,Anmeldung!$D$23&lt;&gt;"",Anmeldung!$G$23=Anmeldung!$G$29,Anmeldung!$J$23=Anmeldung!$J$29,(Anmeldung!$B$23&amp;": "&amp;Anmeldung!$D$23&amp;", "&amp;Anmeldung!$E$23&amp;" / "&amp;Anmeldung!$G$23&amp;" / "&amp;Anmeldung!$J$23)&lt;&gt;Anmeldung!$P$29),Anmeldung!$B$23&amp;": "&amp;Anmeldung!$D$23&amp;", "&amp;Anmeldung!$E$23&amp;" / "&amp;Anmeldung!$G$23&amp;" / "&amp;Anmeldung!$J$23,"")</f>
        <v/>
      </c>
      <c r="CM10" t="str">
        <f>IF(AND(16&lt;&gt;22,Anmeldung!$D$23&lt;&gt;"",Anmeldung!$G$23=Anmeldung!$G$29,Anmeldung!$J$23=Anmeldung!$J$29,(Anmeldung!$B$23&amp;": "&amp;Anmeldung!$D$23&amp;", "&amp;Anmeldung!$E$23&amp;" / "&amp;Anmeldung!$G$23&amp;" / "&amp;Anmeldung!$J$23)&lt;&gt;Anmeldung!$O$29),Anmeldung!$B$23&amp;": "&amp;Anmeldung!$D$23&amp;", "&amp;Anmeldung!$E$23&amp;" / "&amp;Anmeldung!$G$23&amp;" / "&amp;Anmeldung!$J$23,"")</f>
        <v/>
      </c>
      <c r="CN10" t="str">
        <f>IF(AND(16&lt;&gt;22,Anmeldung!$D$23&lt;&gt;"",Anmeldung!$G$23&lt;&gt;Anmeldung!$G$29,(Anmeldung!$B$23&amp;": "&amp;Anmeldung!$D$23&amp;", "&amp;Anmeldung!$E$23&amp;" / "&amp;Anmeldung!$G$23&amp;" / "&amp;Anmeldung!$J$23)&lt;&gt;Anmeldung!$S$29),Anmeldung!$B$23&amp;": "&amp;Anmeldung!$D$23&amp;", "&amp;Anmeldung!$E$23&amp;" / "&amp;Anmeldung!$G$23&amp;" / "&amp;Anmeldung!$J$23,"")</f>
        <v/>
      </c>
      <c r="CO10" t="str">
        <f>IF(AND(16&lt;&gt;22,Anmeldung!$D$23&lt;&gt;"",(Anmeldung!$B$23&amp;": "&amp;Anmeldung!$D$23&amp;", "&amp;Anmeldung!$E$23&amp;" / "&amp;Anmeldung!$G$23&amp;" / "&amp;Anmeldung!$J$23)&lt;&gt;Anmeldung!$R$29),Anmeldung!$B$23&amp;": "&amp;Anmeldung!$D$23&amp;", "&amp;Anmeldung!$E$23&amp;" / "&amp;Anmeldung!$G$23&amp;" / "&amp;Anmeldung!$J$23,"")</f>
        <v/>
      </c>
      <c r="CP10" t="str">
        <f>IF(AND(15&lt;&gt;21,Anmeldung!$D$23&lt;&gt;"",Anmeldung!$U$23="Ja",Anmeldung!$G$23=Anmeldung!$G$29,Anmeldung!$J$23=Anmeldung!$J$29),Anmeldung!$B$23&amp;": "&amp;Anmeldung!$D$23&amp;", "&amp;Anmeldung!$E$23&amp;" / "&amp;Anmeldung!$G$23&amp;" / "&amp;Anmeldung!$J$23,"")</f>
        <v/>
      </c>
      <c r="CS10" t="str">
        <f>IF(AND(16&lt;&gt;23,Anmeldung!$D$23&lt;&gt;"",Anmeldung!$G$23=Anmeldung!$G$30,Anmeldung!$J$23=Anmeldung!$J$30),Anmeldung!$B$23&amp;": "&amp;Anmeldung!$D$23&amp;", "&amp;Anmeldung!$E$23&amp;" / "&amp;Anmeldung!$G$23&amp;" / "&amp;Anmeldung!$J$23,"")</f>
        <v/>
      </c>
      <c r="CT10" t="str">
        <f>IF(AND(16&lt;&gt;23,Anmeldung!$D$23&lt;&gt;"",Anmeldung!$G$23=Anmeldung!$G$30,Anmeldung!$J$23=Anmeldung!$J$30,(Anmeldung!$B$23&amp;": "&amp;Anmeldung!$D$23&amp;", "&amp;Anmeldung!$E$23&amp;" / "&amp;Anmeldung!$G$23&amp;" / "&amp;Anmeldung!$J$23)&lt;&gt;Anmeldung!$P$30),Anmeldung!$B$23&amp;": "&amp;Anmeldung!$D$23&amp;", "&amp;Anmeldung!$E$23&amp;" / "&amp;Anmeldung!$G$23&amp;" / "&amp;Anmeldung!$J$23,"")</f>
        <v/>
      </c>
      <c r="CU10" t="str">
        <f>IF(AND(16&lt;&gt;23,Anmeldung!$D$23&lt;&gt;"",Anmeldung!$G$23=Anmeldung!$G$30,Anmeldung!$J$23=Anmeldung!$J$30,(Anmeldung!$B$23&amp;": "&amp;Anmeldung!$D$23&amp;", "&amp;Anmeldung!$E$23&amp;" / "&amp;Anmeldung!$G$23&amp;" / "&amp;Anmeldung!$J$23)&lt;&gt;Anmeldung!$O$30),Anmeldung!$B$23&amp;": "&amp;Anmeldung!$D$23&amp;", "&amp;Anmeldung!$E$23&amp;" / "&amp;Anmeldung!$G$23&amp;" / "&amp;Anmeldung!$J$23,"")</f>
        <v/>
      </c>
      <c r="CV10" t="str">
        <f>IF(AND(16&lt;&gt;23,Anmeldung!$D$23&lt;&gt;"",Anmeldung!$G$23&lt;&gt;Anmeldung!$G$30,(Anmeldung!$B$23&amp;": "&amp;Anmeldung!$D$23&amp;", "&amp;Anmeldung!$E$23&amp;" / "&amp;Anmeldung!$G$23&amp;" / "&amp;Anmeldung!$J$23)&lt;&gt;Anmeldung!$S$30),Anmeldung!$B$23&amp;": "&amp;Anmeldung!$D$23&amp;", "&amp;Anmeldung!$E$23&amp;" / "&amp;Anmeldung!$G$23&amp;" / "&amp;Anmeldung!$J$23,"")</f>
        <v/>
      </c>
      <c r="CW10" t="str">
        <f>IF(AND(16&lt;&gt;23,Anmeldung!$D$23&lt;&gt;"",(Anmeldung!$B$23&amp;": "&amp;Anmeldung!$D$23&amp;", "&amp;Anmeldung!$E$23&amp;" / "&amp;Anmeldung!$G$23&amp;" / "&amp;Anmeldung!$J$23)&lt;&gt;Anmeldung!$R$30),Anmeldung!$B$23&amp;": "&amp;Anmeldung!$D$23&amp;", "&amp;Anmeldung!$E$23&amp;" / "&amp;Anmeldung!$G$23&amp;" / "&amp;Anmeldung!$J$23,"")</f>
        <v/>
      </c>
      <c r="CX10" t="str">
        <f>IF(AND(15&lt;&gt;22,Anmeldung!$D$23&lt;&gt;"",Anmeldung!$U$23="Ja",Anmeldung!$G$23=Anmeldung!$G$30,Anmeldung!$J$23=Anmeldung!$J$30),Anmeldung!$B$23&amp;": "&amp;Anmeldung!$D$23&amp;", "&amp;Anmeldung!$E$23&amp;" / "&amp;Anmeldung!$G$23&amp;" / "&amp;Anmeldung!$J$23,"")</f>
        <v/>
      </c>
      <c r="DA10" t="str">
        <f>IF(AND(16&lt;&gt;24,Anmeldung!$D$23&lt;&gt;"",Anmeldung!$G$23=Anmeldung!$G$31,Anmeldung!$J$23=Anmeldung!$J$31),Anmeldung!$B$23&amp;": "&amp;Anmeldung!$D$23&amp;", "&amp;Anmeldung!$E$23&amp;" / "&amp;Anmeldung!$G$23&amp;" / "&amp;Anmeldung!$J$23,"")</f>
        <v/>
      </c>
      <c r="DB10" t="str">
        <f>IF(AND(16&lt;&gt;24,Anmeldung!$D$23&lt;&gt;"",Anmeldung!$G$23=Anmeldung!$G$31,Anmeldung!$J$23=Anmeldung!$J$31,(Anmeldung!$B$23&amp;": "&amp;Anmeldung!$D$23&amp;", "&amp;Anmeldung!$E$23&amp;" / "&amp;Anmeldung!$G$23&amp;" / "&amp;Anmeldung!$J$23)&lt;&gt;Anmeldung!$P$31),Anmeldung!$B$23&amp;": "&amp;Anmeldung!$D$23&amp;", "&amp;Anmeldung!$E$23&amp;" / "&amp;Anmeldung!$G$23&amp;" / "&amp;Anmeldung!$J$23,"")</f>
        <v/>
      </c>
      <c r="DC10" t="str">
        <f>IF(AND(16&lt;&gt;24,Anmeldung!$D$23&lt;&gt;"",Anmeldung!$G$23=Anmeldung!$G$31,Anmeldung!$J$23=Anmeldung!$J$31,(Anmeldung!$B$23&amp;": "&amp;Anmeldung!$D$23&amp;", "&amp;Anmeldung!$E$23&amp;" / "&amp;Anmeldung!$G$23&amp;" / "&amp;Anmeldung!$J$23)&lt;&gt;Anmeldung!$O$31),Anmeldung!$B$23&amp;": "&amp;Anmeldung!$D$23&amp;", "&amp;Anmeldung!$E$23&amp;" / "&amp;Anmeldung!$G$23&amp;" / "&amp;Anmeldung!$J$23,"")</f>
        <v/>
      </c>
      <c r="DD10" t="str">
        <f>IF(AND(16&lt;&gt;24,Anmeldung!$D$23&lt;&gt;"",Anmeldung!$G$23&lt;&gt;Anmeldung!$G$31,(Anmeldung!$B$23&amp;": "&amp;Anmeldung!$D$23&amp;", "&amp;Anmeldung!$E$23&amp;" / "&amp;Anmeldung!$G$23&amp;" / "&amp;Anmeldung!$J$23)&lt;&gt;Anmeldung!$S$31),Anmeldung!$B$23&amp;": "&amp;Anmeldung!$D$23&amp;", "&amp;Anmeldung!$E$23&amp;" / "&amp;Anmeldung!$G$23&amp;" / "&amp;Anmeldung!$J$23,"")</f>
        <v/>
      </c>
      <c r="DE10" t="str">
        <f>IF(AND(16&lt;&gt;24,Anmeldung!$D$23&lt;&gt;"",(Anmeldung!$B$23&amp;": "&amp;Anmeldung!$D$23&amp;", "&amp;Anmeldung!$E$23&amp;" / "&amp;Anmeldung!$G$23&amp;" / "&amp;Anmeldung!$J$23)&lt;&gt;Anmeldung!$R$31),Anmeldung!$B$23&amp;": "&amp;Anmeldung!$D$23&amp;", "&amp;Anmeldung!$E$23&amp;" / "&amp;Anmeldung!$G$23&amp;" / "&amp;Anmeldung!$J$23,"")</f>
        <v/>
      </c>
      <c r="DF10" t="str">
        <f>IF(AND(15&lt;&gt;23,Anmeldung!$D$23&lt;&gt;"",Anmeldung!$U$23="Ja",Anmeldung!$G$23=Anmeldung!$G$31,Anmeldung!$J$23=Anmeldung!$J$31),Anmeldung!$B$23&amp;": "&amp;Anmeldung!$D$23&amp;", "&amp;Anmeldung!$E$23&amp;" / "&amp;Anmeldung!$G$23&amp;" / "&amp;Anmeldung!$J$23,"")</f>
        <v/>
      </c>
      <c r="DI10" t="str">
        <f>IF(AND(16&lt;&gt;25,Anmeldung!$D$23&lt;&gt;"",Anmeldung!$G$23=Anmeldung!$G$32,Anmeldung!$J$23=Anmeldung!$J$32),Anmeldung!$B$23&amp;": "&amp;Anmeldung!$D$23&amp;", "&amp;Anmeldung!$E$23&amp;" / "&amp;Anmeldung!$G$23&amp;" / "&amp;Anmeldung!$J$23,"")</f>
        <v/>
      </c>
      <c r="DJ10" t="str">
        <f>IF(AND(16&lt;&gt;25,Anmeldung!$D$23&lt;&gt;"",Anmeldung!$G$23=Anmeldung!$G$32,Anmeldung!$J$23=Anmeldung!$J$32,(Anmeldung!$B$23&amp;": "&amp;Anmeldung!$D$23&amp;", "&amp;Anmeldung!$E$23&amp;" / "&amp;Anmeldung!$G$23&amp;" / "&amp;Anmeldung!$J$23)&lt;&gt;Anmeldung!$P$32),Anmeldung!$B$23&amp;": "&amp;Anmeldung!$D$23&amp;", "&amp;Anmeldung!$E$23&amp;" / "&amp;Anmeldung!$G$23&amp;" / "&amp;Anmeldung!$J$23,"")</f>
        <v/>
      </c>
      <c r="DK10" t="str">
        <f>IF(AND(16&lt;&gt;25,Anmeldung!$D$23&lt;&gt;"",Anmeldung!$G$23=Anmeldung!$G$32,Anmeldung!$J$23=Anmeldung!$J$32,(Anmeldung!$B$23&amp;": "&amp;Anmeldung!$D$23&amp;", "&amp;Anmeldung!$E$23&amp;" / "&amp;Anmeldung!$G$23&amp;" / "&amp;Anmeldung!$J$23)&lt;&gt;Anmeldung!$O$32),Anmeldung!$B$23&amp;": "&amp;Anmeldung!$D$23&amp;", "&amp;Anmeldung!$E$23&amp;" / "&amp;Anmeldung!$G$23&amp;" / "&amp;Anmeldung!$J$23,"")</f>
        <v/>
      </c>
      <c r="DL10" t="str">
        <f>IF(AND(16&lt;&gt;25,Anmeldung!$D$23&lt;&gt;"",Anmeldung!$G$23&lt;&gt;Anmeldung!$G$32,(Anmeldung!$B$23&amp;": "&amp;Anmeldung!$D$23&amp;", "&amp;Anmeldung!$E$23&amp;" / "&amp;Anmeldung!$G$23&amp;" / "&amp;Anmeldung!$J$23)&lt;&gt;Anmeldung!$S$32),Anmeldung!$B$23&amp;": "&amp;Anmeldung!$D$23&amp;", "&amp;Anmeldung!$E$23&amp;" / "&amp;Anmeldung!$G$23&amp;" / "&amp;Anmeldung!$J$23,"")</f>
        <v/>
      </c>
      <c r="DM10" t="str">
        <f>IF(AND(16&lt;&gt;25,Anmeldung!$D$23&lt;&gt;"",(Anmeldung!$B$23&amp;": "&amp;Anmeldung!$D$23&amp;", "&amp;Anmeldung!$E$23&amp;" / "&amp;Anmeldung!$G$23&amp;" / "&amp;Anmeldung!$J$23)&lt;&gt;Anmeldung!$R$32),Anmeldung!$B$23&amp;": "&amp;Anmeldung!$D$23&amp;", "&amp;Anmeldung!$E$23&amp;" / "&amp;Anmeldung!$G$23&amp;" / "&amp;Anmeldung!$J$23,"")</f>
        <v/>
      </c>
      <c r="DN10" t="str">
        <f>IF(AND(15&lt;&gt;24,Anmeldung!$D$23&lt;&gt;"",Anmeldung!$U$23="Ja",Anmeldung!$G$23=Anmeldung!$G$32,Anmeldung!$J$23=Anmeldung!$J$32),Anmeldung!$B$23&amp;": "&amp;Anmeldung!$D$23&amp;", "&amp;Anmeldung!$E$23&amp;" / "&amp;Anmeldung!$G$23&amp;" / "&amp;Anmeldung!$J$23,"")</f>
        <v/>
      </c>
      <c r="DQ10" t="str">
        <f>IF(AND(16&lt;&gt;26,Anmeldung!$D$23&lt;&gt;"",Anmeldung!$G$23=Anmeldung!$G$33,Anmeldung!$J$23=Anmeldung!$J$33),Anmeldung!$B$23&amp;": "&amp;Anmeldung!$D$23&amp;", "&amp;Anmeldung!$E$23&amp;" / "&amp;Anmeldung!$G$23&amp;" / "&amp;Anmeldung!$J$23,"")</f>
        <v/>
      </c>
      <c r="DR10" t="str">
        <f>IF(AND(16&lt;&gt;26,Anmeldung!$D$23&lt;&gt;"",Anmeldung!$G$23=Anmeldung!$G$33,Anmeldung!$J$23=Anmeldung!$J$33,(Anmeldung!$B$23&amp;": "&amp;Anmeldung!$D$23&amp;", "&amp;Anmeldung!$E$23&amp;" / "&amp;Anmeldung!$G$23&amp;" / "&amp;Anmeldung!$J$23)&lt;&gt;Anmeldung!$P$33),Anmeldung!$B$23&amp;": "&amp;Anmeldung!$D$23&amp;", "&amp;Anmeldung!$E$23&amp;" / "&amp;Anmeldung!$G$23&amp;" / "&amp;Anmeldung!$J$23,"")</f>
        <v/>
      </c>
      <c r="DS10" t="str">
        <f>IF(AND(16&lt;&gt;26,Anmeldung!$D$23&lt;&gt;"",Anmeldung!$G$23=Anmeldung!$G$33,Anmeldung!$J$23=Anmeldung!$J$33,(Anmeldung!$B$23&amp;": "&amp;Anmeldung!$D$23&amp;", "&amp;Anmeldung!$E$23&amp;" / "&amp;Anmeldung!$G$23&amp;" / "&amp;Anmeldung!$J$23)&lt;&gt;Anmeldung!$O$33),Anmeldung!$B$23&amp;": "&amp;Anmeldung!$D$23&amp;", "&amp;Anmeldung!$E$23&amp;" / "&amp;Anmeldung!$G$23&amp;" / "&amp;Anmeldung!$J$23,"")</f>
        <v/>
      </c>
      <c r="DT10" t="str">
        <f>IF(AND(16&lt;&gt;26,Anmeldung!$D$23&lt;&gt;"",Anmeldung!$G$23&lt;&gt;Anmeldung!$G$33,(Anmeldung!$B$23&amp;": "&amp;Anmeldung!$D$23&amp;", "&amp;Anmeldung!$E$23&amp;" / "&amp;Anmeldung!$G$23&amp;" / "&amp;Anmeldung!$J$23)&lt;&gt;Anmeldung!$S$33),Anmeldung!$B$23&amp;": "&amp;Anmeldung!$D$23&amp;", "&amp;Anmeldung!$E$23&amp;" / "&amp;Anmeldung!$G$23&amp;" / "&amp;Anmeldung!$J$23,"")</f>
        <v/>
      </c>
      <c r="DU10" t="str">
        <f>IF(AND(16&lt;&gt;26,Anmeldung!$D$23&lt;&gt;"",(Anmeldung!$B$23&amp;": "&amp;Anmeldung!$D$23&amp;", "&amp;Anmeldung!$E$23&amp;" / "&amp;Anmeldung!$G$23&amp;" / "&amp;Anmeldung!$J$23)&lt;&gt;Anmeldung!$R$33),Anmeldung!$B$23&amp;": "&amp;Anmeldung!$D$23&amp;", "&amp;Anmeldung!$E$23&amp;" / "&amp;Anmeldung!$G$23&amp;" / "&amp;Anmeldung!$J$23,"")</f>
        <v/>
      </c>
      <c r="DV10" t="str">
        <f>IF(AND(15&lt;&gt;25,Anmeldung!$D$23&lt;&gt;"",Anmeldung!$U$23="Ja",Anmeldung!$G$23=Anmeldung!$G$33,Anmeldung!$J$23=Anmeldung!$J$33),Anmeldung!$B$23&amp;": "&amp;Anmeldung!$D$23&amp;", "&amp;Anmeldung!$E$23&amp;" / "&amp;Anmeldung!$G$23&amp;" / "&amp;Anmeldung!$J$23,"")</f>
        <v/>
      </c>
      <c r="DY10" t="str">
        <f>IF(AND(16&lt;&gt;27,Anmeldung!$D$23&lt;&gt;"",Anmeldung!$G$23=Anmeldung!$G$34,Anmeldung!$J$23=Anmeldung!$J$34),Anmeldung!$B$23&amp;": "&amp;Anmeldung!$D$23&amp;", "&amp;Anmeldung!$E$23&amp;" / "&amp;Anmeldung!$G$23&amp;" / "&amp;Anmeldung!$J$23,"")</f>
        <v/>
      </c>
      <c r="DZ10" t="str">
        <f>IF(AND(16&lt;&gt;27,Anmeldung!$D$23&lt;&gt;"",Anmeldung!$G$23=Anmeldung!$G$34,Anmeldung!$J$23=Anmeldung!$J$34,(Anmeldung!$B$23&amp;": "&amp;Anmeldung!$D$23&amp;", "&amp;Anmeldung!$E$23&amp;" / "&amp;Anmeldung!$G$23&amp;" / "&amp;Anmeldung!$J$23)&lt;&gt;Anmeldung!$P$34),Anmeldung!$B$23&amp;": "&amp;Anmeldung!$D$23&amp;", "&amp;Anmeldung!$E$23&amp;" / "&amp;Anmeldung!$G$23&amp;" / "&amp;Anmeldung!$J$23,"")</f>
        <v/>
      </c>
      <c r="EA10" t="str">
        <f>IF(AND(16&lt;&gt;27,Anmeldung!$D$23&lt;&gt;"",Anmeldung!$G$23=Anmeldung!$G$34,Anmeldung!$J$23=Anmeldung!$J$34,(Anmeldung!$B$23&amp;": "&amp;Anmeldung!$D$23&amp;", "&amp;Anmeldung!$E$23&amp;" / "&amp;Anmeldung!$G$23&amp;" / "&amp;Anmeldung!$J$23)&lt;&gt;Anmeldung!$O$34),Anmeldung!$B$23&amp;": "&amp;Anmeldung!$D$23&amp;", "&amp;Anmeldung!$E$23&amp;" / "&amp;Anmeldung!$G$23&amp;" / "&amp;Anmeldung!$J$23,"")</f>
        <v/>
      </c>
      <c r="EB10" t="str">
        <f>IF(AND(16&lt;&gt;27,Anmeldung!$D$23&lt;&gt;"",Anmeldung!$G$23&lt;&gt;Anmeldung!$G$34,(Anmeldung!$B$23&amp;": "&amp;Anmeldung!$D$23&amp;", "&amp;Anmeldung!$E$23&amp;" / "&amp;Anmeldung!$G$23&amp;" / "&amp;Anmeldung!$J$23)&lt;&gt;Anmeldung!$S$34),Anmeldung!$B$23&amp;": "&amp;Anmeldung!$D$23&amp;", "&amp;Anmeldung!$E$23&amp;" / "&amp;Anmeldung!$G$23&amp;" / "&amp;Anmeldung!$J$23,"")</f>
        <v/>
      </c>
      <c r="EC10" t="str">
        <f>IF(AND(16&lt;&gt;27,Anmeldung!$D$23&lt;&gt;"",(Anmeldung!$B$23&amp;": "&amp;Anmeldung!$D$23&amp;", "&amp;Anmeldung!$E$23&amp;" / "&amp;Anmeldung!$G$23&amp;" / "&amp;Anmeldung!$J$23)&lt;&gt;Anmeldung!$R$34),Anmeldung!$B$23&amp;": "&amp;Anmeldung!$D$23&amp;", "&amp;Anmeldung!$E$23&amp;" / "&amp;Anmeldung!$G$23&amp;" / "&amp;Anmeldung!$J$23,"")</f>
        <v/>
      </c>
      <c r="ED10" t="str">
        <f>IF(AND(15&lt;&gt;26,Anmeldung!$D$23&lt;&gt;"",Anmeldung!$U$23="Ja",Anmeldung!$G$23=Anmeldung!$G$34,Anmeldung!$J$23=Anmeldung!$J$34),Anmeldung!$B$23&amp;": "&amp;Anmeldung!$D$23&amp;", "&amp;Anmeldung!$E$23&amp;" / "&amp;Anmeldung!$G$23&amp;" / "&amp;Anmeldung!$J$23,"")</f>
        <v/>
      </c>
      <c r="EG10" t="str">
        <f>IF(AND(16&lt;&gt;28,Anmeldung!$D$23&lt;&gt;"",Anmeldung!$G$23=Anmeldung!$G$35,Anmeldung!$J$23=Anmeldung!$J$35),Anmeldung!$B$23&amp;": "&amp;Anmeldung!$D$23&amp;", "&amp;Anmeldung!$E$23&amp;" / "&amp;Anmeldung!$G$23&amp;" / "&amp;Anmeldung!$J$23,"")</f>
        <v/>
      </c>
      <c r="EH10" t="str">
        <f>IF(AND(16&lt;&gt;28,Anmeldung!$D$23&lt;&gt;"",Anmeldung!$G$23=Anmeldung!$G$35,Anmeldung!$J$23=Anmeldung!$J$35,(Anmeldung!$B$23&amp;": "&amp;Anmeldung!$D$23&amp;", "&amp;Anmeldung!$E$23&amp;" / "&amp;Anmeldung!$G$23&amp;" / "&amp;Anmeldung!$J$23)&lt;&gt;Anmeldung!$P$35),Anmeldung!$B$23&amp;": "&amp;Anmeldung!$D$23&amp;", "&amp;Anmeldung!$E$23&amp;" / "&amp;Anmeldung!$G$23&amp;" / "&amp;Anmeldung!$J$23,"")</f>
        <v/>
      </c>
      <c r="EI10" t="str">
        <f>IF(AND(16&lt;&gt;28,Anmeldung!$D$23&lt;&gt;"",Anmeldung!$G$23=Anmeldung!$G$35,Anmeldung!$J$23=Anmeldung!$J$35,(Anmeldung!$B$23&amp;": "&amp;Anmeldung!$D$23&amp;", "&amp;Anmeldung!$E$23&amp;" / "&amp;Anmeldung!$G$23&amp;" / "&amp;Anmeldung!$J$23)&lt;&gt;Anmeldung!$O$35),Anmeldung!$B$23&amp;": "&amp;Anmeldung!$D$23&amp;", "&amp;Anmeldung!$E$23&amp;" / "&amp;Anmeldung!$G$23&amp;" / "&amp;Anmeldung!$J$23,"")</f>
        <v/>
      </c>
      <c r="EJ10" t="str">
        <f>IF(AND(16&lt;&gt;28,Anmeldung!$D$23&lt;&gt;"",Anmeldung!$G$23&lt;&gt;Anmeldung!$G$35,(Anmeldung!$B$23&amp;": "&amp;Anmeldung!$D$23&amp;", "&amp;Anmeldung!$E$23&amp;" / "&amp;Anmeldung!$G$23&amp;" / "&amp;Anmeldung!$J$23)&lt;&gt;Anmeldung!$S$35),Anmeldung!$B$23&amp;": "&amp;Anmeldung!$D$23&amp;", "&amp;Anmeldung!$E$23&amp;" / "&amp;Anmeldung!$G$23&amp;" / "&amp;Anmeldung!$J$23,"")</f>
        <v/>
      </c>
      <c r="EK10" t="str">
        <f>IF(AND(16&lt;&gt;28,Anmeldung!$D$23&lt;&gt;"",(Anmeldung!$B$23&amp;": "&amp;Anmeldung!$D$23&amp;", "&amp;Anmeldung!$E$23&amp;" / "&amp;Anmeldung!$G$23&amp;" / "&amp;Anmeldung!$J$23)&lt;&gt;Anmeldung!$R$35),Anmeldung!$B$23&amp;": "&amp;Anmeldung!$D$23&amp;", "&amp;Anmeldung!$E$23&amp;" / "&amp;Anmeldung!$G$23&amp;" / "&amp;Anmeldung!$J$23,"")</f>
        <v/>
      </c>
      <c r="EL10" t="str">
        <f>IF(AND(15&lt;&gt;27,Anmeldung!$D$23&lt;&gt;"",Anmeldung!$U$23="Ja",Anmeldung!$G$23=Anmeldung!$G$35,Anmeldung!$J$23=Anmeldung!$J$35),Anmeldung!$B$23&amp;": "&amp;Anmeldung!$D$23&amp;", "&amp;Anmeldung!$E$23&amp;" / "&amp;Anmeldung!$G$23&amp;" / "&amp;Anmeldung!$J$23,"")</f>
        <v/>
      </c>
      <c r="EO10" t="str">
        <f>IF(AND(16&lt;&gt;29,Anmeldung!$D$23&lt;&gt;"",Anmeldung!$G$23=Anmeldung!$G$36,Anmeldung!$J$23=Anmeldung!$J$36),Anmeldung!$B$23&amp;": "&amp;Anmeldung!$D$23&amp;", "&amp;Anmeldung!$E$23&amp;" / "&amp;Anmeldung!$G$23&amp;" / "&amp;Anmeldung!$J$23,"")</f>
        <v/>
      </c>
      <c r="EP10" t="str">
        <f>IF(AND(16&lt;&gt;29,Anmeldung!$D$23&lt;&gt;"",Anmeldung!$G$23=Anmeldung!$G$36,Anmeldung!$J$23=Anmeldung!$J$36,(Anmeldung!$B$23&amp;": "&amp;Anmeldung!$D$23&amp;", "&amp;Anmeldung!$E$23&amp;" / "&amp;Anmeldung!$G$23&amp;" / "&amp;Anmeldung!$J$23)&lt;&gt;Anmeldung!$P$36),Anmeldung!$B$23&amp;": "&amp;Anmeldung!$D$23&amp;", "&amp;Anmeldung!$E$23&amp;" / "&amp;Anmeldung!$G$23&amp;" / "&amp;Anmeldung!$J$23,"")</f>
        <v/>
      </c>
      <c r="EQ10" t="str">
        <f>IF(AND(16&lt;&gt;29,Anmeldung!$D$23&lt;&gt;"",Anmeldung!$G$23=Anmeldung!$G$36,Anmeldung!$J$23=Anmeldung!$J$36,(Anmeldung!$B$23&amp;": "&amp;Anmeldung!$D$23&amp;", "&amp;Anmeldung!$E$23&amp;" / "&amp;Anmeldung!$G$23&amp;" / "&amp;Anmeldung!$J$23)&lt;&gt;Anmeldung!$O$36),Anmeldung!$B$23&amp;": "&amp;Anmeldung!$D$23&amp;", "&amp;Anmeldung!$E$23&amp;" / "&amp;Anmeldung!$G$23&amp;" / "&amp;Anmeldung!$J$23,"")</f>
        <v/>
      </c>
      <c r="ER10" t="str">
        <f>IF(AND(16&lt;&gt;29,Anmeldung!$D$23&lt;&gt;"",Anmeldung!$G$23&lt;&gt;Anmeldung!$G$36,(Anmeldung!$B$23&amp;": "&amp;Anmeldung!$D$23&amp;", "&amp;Anmeldung!$E$23&amp;" / "&amp;Anmeldung!$G$23&amp;" / "&amp;Anmeldung!$J$23)&lt;&gt;Anmeldung!$S$36),Anmeldung!$B$23&amp;": "&amp;Anmeldung!$D$23&amp;", "&amp;Anmeldung!$E$23&amp;" / "&amp;Anmeldung!$G$23&amp;" / "&amp;Anmeldung!$J$23,"")</f>
        <v/>
      </c>
      <c r="ES10" t="str">
        <f>IF(AND(16&lt;&gt;29,Anmeldung!$D$23&lt;&gt;"",(Anmeldung!$B$23&amp;": "&amp;Anmeldung!$D$23&amp;", "&amp;Anmeldung!$E$23&amp;" / "&amp;Anmeldung!$G$23&amp;" / "&amp;Anmeldung!$J$23)&lt;&gt;Anmeldung!$R$36),Anmeldung!$B$23&amp;": "&amp;Anmeldung!$D$23&amp;", "&amp;Anmeldung!$E$23&amp;" / "&amp;Anmeldung!$G$23&amp;" / "&amp;Anmeldung!$J$23,"")</f>
        <v/>
      </c>
      <c r="ET10" t="str">
        <f>IF(AND(15&lt;&gt;28,Anmeldung!$D$23&lt;&gt;"",Anmeldung!$U$23="Ja",Anmeldung!$G$23=Anmeldung!$G$36,Anmeldung!$J$23=Anmeldung!$J$36),Anmeldung!$B$23&amp;": "&amp;Anmeldung!$D$23&amp;", "&amp;Anmeldung!$E$23&amp;" / "&amp;Anmeldung!$G$23&amp;" / "&amp;Anmeldung!$J$23,"")</f>
        <v/>
      </c>
      <c r="EW10" t="str">
        <f>IF(AND(16&lt;&gt;30,Anmeldung!$D$23&lt;&gt;"",Anmeldung!$G$23=Anmeldung!$G$37,Anmeldung!$J$23=Anmeldung!$J$37),Anmeldung!$B$23&amp;": "&amp;Anmeldung!$D$23&amp;", "&amp;Anmeldung!$E$23&amp;" / "&amp;Anmeldung!$G$23&amp;" / "&amp;Anmeldung!$J$23,"")</f>
        <v/>
      </c>
      <c r="EX10" t="str">
        <f>IF(AND(16&lt;&gt;30,Anmeldung!$D$23&lt;&gt;"",Anmeldung!$G$23=Anmeldung!$G$37,Anmeldung!$J$23=Anmeldung!$J$37,(Anmeldung!$B$23&amp;": "&amp;Anmeldung!$D$23&amp;", "&amp;Anmeldung!$E$23&amp;" / "&amp;Anmeldung!$G$23&amp;" / "&amp;Anmeldung!$J$23)&lt;&gt;Anmeldung!$P$37),Anmeldung!$B$23&amp;": "&amp;Anmeldung!$D$23&amp;", "&amp;Anmeldung!$E$23&amp;" / "&amp;Anmeldung!$G$23&amp;" / "&amp;Anmeldung!$J$23,"")</f>
        <v/>
      </c>
      <c r="EY10" t="str">
        <f>IF(AND(16&lt;&gt;30,Anmeldung!$D$23&lt;&gt;"",Anmeldung!$G$23=Anmeldung!$G$37,Anmeldung!$J$23=Anmeldung!$J$37,(Anmeldung!$B$23&amp;": "&amp;Anmeldung!$D$23&amp;", "&amp;Anmeldung!$E$23&amp;" / "&amp;Anmeldung!$G$23&amp;" / "&amp;Anmeldung!$J$23)&lt;&gt;Anmeldung!$O$37),Anmeldung!$B$23&amp;": "&amp;Anmeldung!$D$23&amp;", "&amp;Anmeldung!$E$23&amp;" / "&amp;Anmeldung!$G$23&amp;" / "&amp;Anmeldung!$J$23,"")</f>
        <v/>
      </c>
      <c r="EZ10" t="str">
        <f>IF(AND(16&lt;&gt;30,Anmeldung!$D$23&lt;&gt;"",Anmeldung!$G$23&lt;&gt;Anmeldung!$G$37,(Anmeldung!$B$23&amp;": "&amp;Anmeldung!$D$23&amp;", "&amp;Anmeldung!$E$23&amp;" / "&amp;Anmeldung!$G$23&amp;" / "&amp;Anmeldung!$J$23)&lt;&gt;Anmeldung!$S$37),Anmeldung!$B$23&amp;": "&amp;Anmeldung!$D$23&amp;", "&amp;Anmeldung!$E$23&amp;" / "&amp;Anmeldung!$G$23&amp;" / "&amp;Anmeldung!$J$23,"")</f>
        <v/>
      </c>
      <c r="FA10" t="str">
        <f>IF(AND(16&lt;&gt;30,Anmeldung!$D$23&lt;&gt;"",(Anmeldung!$B$23&amp;": "&amp;Anmeldung!$D$23&amp;", "&amp;Anmeldung!$E$23&amp;" / "&amp;Anmeldung!$G$23&amp;" / "&amp;Anmeldung!$J$23)&lt;&gt;Anmeldung!$R$37),Anmeldung!$B$23&amp;": "&amp;Anmeldung!$D$23&amp;", "&amp;Anmeldung!$E$23&amp;" / "&amp;Anmeldung!$G$23&amp;" / "&amp;Anmeldung!$J$23,"")</f>
        <v/>
      </c>
      <c r="FB10" t="str">
        <f>IF(AND(15&lt;&gt;29,Anmeldung!$D$23&lt;&gt;"",Anmeldung!$U$23="Ja",Anmeldung!$G$23=Anmeldung!$G$37,Anmeldung!$J$23=Anmeldung!$J$37),Anmeldung!$B$23&amp;": "&amp;Anmeldung!$D$23&amp;", "&amp;Anmeldung!$E$23&amp;" / "&amp;Anmeldung!$G$23&amp;" / "&amp;Anmeldung!$J$23,"")</f>
        <v/>
      </c>
      <c r="FE10" t="str">
        <f>IF(AND(16&lt;&gt;31,Anmeldung!$D$23&lt;&gt;"",Anmeldung!$G$23=Anmeldung!$G$38,Anmeldung!$J$23=Anmeldung!$J$38),Anmeldung!$B$23&amp;": "&amp;Anmeldung!$D$23&amp;", "&amp;Anmeldung!$E$23&amp;" / "&amp;Anmeldung!$G$23&amp;" / "&amp;Anmeldung!$J$23,"")</f>
        <v/>
      </c>
      <c r="FF10" t="str">
        <f>IF(AND(16&lt;&gt;31,Anmeldung!$D$23&lt;&gt;"",Anmeldung!$G$23=Anmeldung!$G$38,Anmeldung!$J$23=Anmeldung!$J$38,(Anmeldung!$B$23&amp;": "&amp;Anmeldung!$D$23&amp;", "&amp;Anmeldung!$E$23&amp;" / "&amp;Anmeldung!$G$23&amp;" / "&amp;Anmeldung!$J$23)&lt;&gt;Anmeldung!$P$38),Anmeldung!$B$23&amp;": "&amp;Anmeldung!$D$23&amp;", "&amp;Anmeldung!$E$23&amp;" / "&amp;Anmeldung!$G$23&amp;" / "&amp;Anmeldung!$J$23,"")</f>
        <v/>
      </c>
      <c r="FG10" t="str">
        <f>IF(AND(16&lt;&gt;31,Anmeldung!$D$23&lt;&gt;"",Anmeldung!$G$23=Anmeldung!$G$38,Anmeldung!$J$23=Anmeldung!$J$38,(Anmeldung!$B$23&amp;": "&amp;Anmeldung!$D$23&amp;", "&amp;Anmeldung!$E$23&amp;" / "&amp;Anmeldung!$G$23&amp;" / "&amp;Anmeldung!$J$23)&lt;&gt;Anmeldung!$O$38),Anmeldung!$B$23&amp;": "&amp;Anmeldung!$D$23&amp;", "&amp;Anmeldung!$E$23&amp;" / "&amp;Anmeldung!$G$23&amp;" / "&amp;Anmeldung!$J$23,"")</f>
        <v/>
      </c>
      <c r="FH10" t="str">
        <f>IF(AND(16&lt;&gt;31,Anmeldung!$D$23&lt;&gt;"",Anmeldung!$G$23&lt;&gt;Anmeldung!$G$38,(Anmeldung!$B$23&amp;": "&amp;Anmeldung!$D$23&amp;", "&amp;Anmeldung!$E$23&amp;" / "&amp;Anmeldung!$G$23&amp;" / "&amp;Anmeldung!$J$23)&lt;&gt;Anmeldung!$S$38),Anmeldung!$B$23&amp;": "&amp;Anmeldung!$D$23&amp;", "&amp;Anmeldung!$E$23&amp;" / "&amp;Anmeldung!$G$23&amp;" / "&amp;Anmeldung!$J$23,"")</f>
        <v/>
      </c>
      <c r="FI10" t="str">
        <f>IF(AND(16&lt;&gt;31,Anmeldung!$D$23&lt;&gt;"",(Anmeldung!$B$23&amp;": "&amp;Anmeldung!$D$23&amp;", "&amp;Anmeldung!$E$23&amp;" / "&amp;Anmeldung!$G$23&amp;" / "&amp;Anmeldung!$J$23)&lt;&gt;Anmeldung!$R$38),Anmeldung!$B$23&amp;": "&amp;Anmeldung!$D$23&amp;", "&amp;Anmeldung!$E$23&amp;" / "&amp;Anmeldung!$G$23&amp;" / "&amp;Anmeldung!$J$23,"")</f>
        <v/>
      </c>
      <c r="FJ10" t="str">
        <f>IF(AND(15&lt;&gt;30,Anmeldung!$D$23&lt;&gt;"",Anmeldung!$U$23="Ja",Anmeldung!$G$23=Anmeldung!$G$38,Anmeldung!$J$23=Anmeldung!$J$38),Anmeldung!$B$23&amp;": "&amp;Anmeldung!$D$23&amp;", "&amp;Anmeldung!$E$23&amp;" / "&amp;Anmeldung!$G$23&amp;" / "&amp;Anmeldung!$J$23,"")</f>
        <v/>
      </c>
      <c r="FM10" t="str">
        <f>IF(AND(16&lt;&gt;32,Anmeldung!$D$23&lt;&gt;"",Anmeldung!$G$23=Anmeldung!$G$39,Anmeldung!$J$23=Anmeldung!$J$39),Anmeldung!$B$23&amp;": "&amp;Anmeldung!$D$23&amp;", "&amp;Anmeldung!$E$23&amp;" / "&amp;Anmeldung!$G$23&amp;" / "&amp;Anmeldung!$J$23,"")</f>
        <v/>
      </c>
      <c r="FN10" t="str">
        <f>IF(AND(16&lt;&gt;32,Anmeldung!$D$23&lt;&gt;"",Anmeldung!$G$23=Anmeldung!$G$39,Anmeldung!$J$23=Anmeldung!$J$39,(Anmeldung!$B$23&amp;": "&amp;Anmeldung!$D$23&amp;", "&amp;Anmeldung!$E$23&amp;" / "&amp;Anmeldung!$G$23&amp;" / "&amp;Anmeldung!$J$23)&lt;&gt;Anmeldung!$P$39),Anmeldung!$B$23&amp;": "&amp;Anmeldung!$D$23&amp;", "&amp;Anmeldung!$E$23&amp;" / "&amp;Anmeldung!$G$23&amp;" / "&amp;Anmeldung!$J$23,"")</f>
        <v/>
      </c>
      <c r="FO10" t="str">
        <f>IF(AND(16&lt;&gt;32,Anmeldung!$D$23&lt;&gt;"",Anmeldung!$G$23=Anmeldung!$G$39,Anmeldung!$J$23=Anmeldung!$J$39,(Anmeldung!$B$23&amp;": "&amp;Anmeldung!$D$23&amp;", "&amp;Anmeldung!$E$23&amp;" / "&amp;Anmeldung!$G$23&amp;" / "&amp;Anmeldung!$J$23)&lt;&gt;Anmeldung!$O$39),Anmeldung!$B$23&amp;": "&amp;Anmeldung!$D$23&amp;", "&amp;Anmeldung!$E$23&amp;" / "&amp;Anmeldung!$G$23&amp;" / "&amp;Anmeldung!$J$23,"")</f>
        <v/>
      </c>
      <c r="FP10" t="str">
        <f>IF(AND(16&lt;&gt;32,Anmeldung!$D$23&lt;&gt;"",Anmeldung!$G$23&lt;&gt;Anmeldung!$G$39,(Anmeldung!$B$23&amp;": "&amp;Anmeldung!$D$23&amp;", "&amp;Anmeldung!$E$23&amp;" / "&amp;Anmeldung!$G$23&amp;" / "&amp;Anmeldung!$J$23)&lt;&gt;Anmeldung!$S$39),Anmeldung!$B$23&amp;": "&amp;Anmeldung!$D$23&amp;", "&amp;Anmeldung!$E$23&amp;" / "&amp;Anmeldung!$G$23&amp;" / "&amp;Anmeldung!$J$23,"")</f>
        <v/>
      </c>
      <c r="FQ10" t="str">
        <f>IF(AND(16&lt;&gt;32,Anmeldung!$D$23&lt;&gt;"",(Anmeldung!$B$23&amp;": "&amp;Anmeldung!$D$23&amp;", "&amp;Anmeldung!$E$23&amp;" / "&amp;Anmeldung!$G$23&amp;" / "&amp;Anmeldung!$J$23)&lt;&gt;Anmeldung!$R$39),Anmeldung!$B$23&amp;": "&amp;Anmeldung!$D$23&amp;", "&amp;Anmeldung!$E$23&amp;" / "&amp;Anmeldung!$G$23&amp;" / "&amp;Anmeldung!$J$23,"")</f>
        <v/>
      </c>
      <c r="FR10" t="str">
        <f>IF(AND(15&lt;&gt;31,Anmeldung!$D$23&lt;&gt;"",Anmeldung!$U$23="Ja",Anmeldung!$G$23=Anmeldung!$G$39,Anmeldung!$J$23=Anmeldung!$J$39),Anmeldung!$B$23&amp;": "&amp;Anmeldung!$D$23&amp;", "&amp;Anmeldung!$E$23&amp;" / "&amp;Anmeldung!$G$23&amp;" / "&amp;Anmeldung!$J$23,"")</f>
        <v/>
      </c>
      <c r="FU10" t="str">
        <f>IF(AND(16&lt;&gt;33,Anmeldung!$D$23&lt;&gt;"",Anmeldung!$G$23=Anmeldung!$G$40,Anmeldung!$J$23=Anmeldung!$J$40),Anmeldung!$B$23&amp;": "&amp;Anmeldung!$D$23&amp;", "&amp;Anmeldung!$E$23&amp;" / "&amp;Anmeldung!$G$23&amp;" / "&amp;Anmeldung!$J$23,"")</f>
        <v/>
      </c>
      <c r="FV10" t="str">
        <f>IF(AND(16&lt;&gt;33,Anmeldung!$D$23&lt;&gt;"",Anmeldung!$G$23=Anmeldung!$G$40,Anmeldung!$J$23=Anmeldung!$J$40,(Anmeldung!$B$23&amp;": "&amp;Anmeldung!$D$23&amp;", "&amp;Anmeldung!$E$23&amp;" / "&amp;Anmeldung!$G$23&amp;" / "&amp;Anmeldung!$J$23)&lt;&gt;Anmeldung!$P$40),Anmeldung!$B$23&amp;": "&amp;Anmeldung!$D$23&amp;", "&amp;Anmeldung!$E$23&amp;" / "&amp;Anmeldung!$G$23&amp;" / "&amp;Anmeldung!$J$23,"")</f>
        <v/>
      </c>
      <c r="FW10" t="str">
        <f>IF(AND(16&lt;&gt;33,Anmeldung!$D$23&lt;&gt;"",Anmeldung!$G$23=Anmeldung!$G$40,Anmeldung!$J$23=Anmeldung!$J$40,(Anmeldung!$B$23&amp;": "&amp;Anmeldung!$D$23&amp;", "&amp;Anmeldung!$E$23&amp;" / "&amp;Anmeldung!$G$23&amp;" / "&amp;Anmeldung!$J$23)&lt;&gt;Anmeldung!$O$40),Anmeldung!$B$23&amp;": "&amp;Anmeldung!$D$23&amp;", "&amp;Anmeldung!$E$23&amp;" / "&amp;Anmeldung!$G$23&amp;" / "&amp;Anmeldung!$J$23,"")</f>
        <v/>
      </c>
      <c r="FX10" t="str">
        <f>IF(AND(16&lt;&gt;33,Anmeldung!$D$23&lt;&gt;"",Anmeldung!$G$23&lt;&gt;Anmeldung!$G$40,(Anmeldung!$B$23&amp;": "&amp;Anmeldung!$D$23&amp;", "&amp;Anmeldung!$E$23&amp;" / "&amp;Anmeldung!$G$23&amp;" / "&amp;Anmeldung!$J$23)&lt;&gt;Anmeldung!$S$40),Anmeldung!$B$23&amp;": "&amp;Anmeldung!$D$23&amp;", "&amp;Anmeldung!$E$23&amp;" / "&amp;Anmeldung!$G$23&amp;" / "&amp;Anmeldung!$J$23,"")</f>
        <v/>
      </c>
      <c r="FY10" t="str">
        <f>IF(AND(16&lt;&gt;33,Anmeldung!$D$23&lt;&gt;"",(Anmeldung!$B$23&amp;": "&amp;Anmeldung!$D$23&amp;", "&amp;Anmeldung!$E$23&amp;" / "&amp;Anmeldung!$G$23&amp;" / "&amp;Anmeldung!$J$23)&lt;&gt;Anmeldung!$R$40),Anmeldung!$B$23&amp;": "&amp;Anmeldung!$D$23&amp;", "&amp;Anmeldung!$E$23&amp;" / "&amp;Anmeldung!$G$23&amp;" / "&amp;Anmeldung!$J$23,"")</f>
        <v/>
      </c>
      <c r="FZ10" t="str">
        <f>IF(AND(15&lt;&gt;32,Anmeldung!$D$23&lt;&gt;"",Anmeldung!$U$23="Ja",Anmeldung!$G$23=Anmeldung!$G$40,Anmeldung!$J$23=Anmeldung!$J$40),Anmeldung!$B$23&amp;": "&amp;Anmeldung!$D$23&amp;", "&amp;Anmeldung!$E$23&amp;" / "&amp;Anmeldung!$G$23&amp;" / "&amp;Anmeldung!$J$23,"")</f>
        <v/>
      </c>
      <c r="GC10" t="str">
        <f>IF(AND(16&lt;&gt;34,Anmeldung!$D$23&lt;&gt;"",Anmeldung!$G$23=Anmeldung!$G$41,Anmeldung!$J$23=Anmeldung!$J$41),Anmeldung!$B$23&amp;": "&amp;Anmeldung!$D$23&amp;", "&amp;Anmeldung!$E$23&amp;" / "&amp;Anmeldung!$G$23&amp;" / "&amp;Anmeldung!$J$23,"")</f>
        <v/>
      </c>
      <c r="GD10" t="str">
        <f>IF(AND(16&lt;&gt;34,Anmeldung!$D$23&lt;&gt;"",Anmeldung!$G$23=Anmeldung!$G$41,Anmeldung!$J$23=Anmeldung!$J$41,(Anmeldung!$B$23&amp;": "&amp;Anmeldung!$D$23&amp;", "&amp;Anmeldung!$E$23&amp;" / "&amp;Anmeldung!$G$23&amp;" / "&amp;Anmeldung!$J$23)&lt;&gt;Anmeldung!$P$41),Anmeldung!$B$23&amp;": "&amp;Anmeldung!$D$23&amp;", "&amp;Anmeldung!$E$23&amp;" / "&amp;Anmeldung!$G$23&amp;" / "&amp;Anmeldung!$J$23,"")</f>
        <v/>
      </c>
      <c r="GE10" t="str">
        <f>IF(AND(16&lt;&gt;34,Anmeldung!$D$23&lt;&gt;"",Anmeldung!$G$23=Anmeldung!$G$41,Anmeldung!$J$23=Anmeldung!$J$41,(Anmeldung!$B$23&amp;": "&amp;Anmeldung!$D$23&amp;", "&amp;Anmeldung!$E$23&amp;" / "&amp;Anmeldung!$G$23&amp;" / "&amp;Anmeldung!$J$23)&lt;&gt;Anmeldung!$O$41),Anmeldung!$B$23&amp;": "&amp;Anmeldung!$D$23&amp;", "&amp;Anmeldung!$E$23&amp;" / "&amp;Anmeldung!$G$23&amp;" / "&amp;Anmeldung!$J$23,"")</f>
        <v/>
      </c>
      <c r="GF10" t="str">
        <f>IF(AND(16&lt;&gt;34,Anmeldung!$D$23&lt;&gt;"",Anmeldung!$G$23&lt;&gt;Anmeldung!$G$41,(Anmeldung!$B$23&amp;": "&amp;Anmeldung!$D$23&amp;", "&amp;Anmeldung!$E$23&amp;" / "&amp;Anmeldung!$G$23&amp;" / "&amp;Anmeldung!$J$23)&lt;&gt;Anmeldung!$S$41),Anmeldung!$B$23&amp;": "&amp;Anmeldung!$D$23&amp;", "&amp;Anmeldung!$E$23&amp;" / "&amp;Anmeldung!$G$23&amp;" / "&amp;Anmeldung!$J$23,"")</f>
        <v/>
      </c>
      <c r="GG10" t="str">
        <f>IF(AND(16&lt;&gt;34,Anmeldung!$D$23&lt;&gt;"",(Anmeldung!$B$23&amp;": "&amp;Anmeldung!$D$23&amp;", "&amp;Anmeldung!$E$23&amp;" / "&amp;Anmeldung!$G$23&amp;" / "&amp;Anmeldung!$J$23)&lt;&gt;Anmeldung!$R$41),Anmeldung!$B$23&amp;": "&amp;Anmeldung!$D$23&amp;", "&amp;Anmeldung!$E$23&amp;" / "&amp;Anmeldung!$G$23&amp;" / "&amp;Anmeldung!$J$23,"")</f>
        <v/>
      </c>
      <c r="GH10" t="str">
        <f>IF(AND(15&lt;&gt;33,Anmeldung!$D$23&lt;&gt;"",Anmeldung!$U$23="Ja",Anmeldung!$G$23=Anmeldung!$G$41,Anmeldung!$J$23=Anmeldung!$J$41),Anmeldung!$B$23&amp;": "&amp;Anmeldung!$D$23&amp;", "&amp;Anmeldung!$E$23&amp;" / "&amp;Anmeldung!$G$23&amp;" / "&amp;Anmeldung!$J$23,"")</f>
        <v/>
      </c>
      <c r="GK10" t="str">
        <f>IF(AND(16&lt;&gt;35,Anmeldung!$D$23&lt;&gt;"",Anmeldung!$G$23=Anmeldung!$G$42,Anmeldung!$J$23=Anmeldung!$J$42),Anmeldung!$B$23&amp;": "&amp;Anmeldung!$D$23&amp;", "&amp;Anmeldung!$E$23&amp;" / "&amp;Anmeldung!$G$23&amp;" / "&amp;Anmeldung!$J$23,"")</f>
        <v/>
      </c>
      <c r="GL10" t="str">
        <f>IF(AND(16&lt;&gt;35,Anmeldung!$D$23&lt;&gt;"",Anmeldung!$G$23=Anmeldung!$G$42,Anmeldung!$J$23=Anmeldung!$J$42,(Anmeldung!$B$23&amp;": "&amp;Anmeldung!$D$23&amp;", "&amp;Anmeldung!$E$23&amp;" / "&amp;Anmeldung!$G$23&amp;" / "&amp;Anmeldung!$J$23)&lt;&gt;Anmeldung!$P$42),Anmeldung!$B$23&amp;": "&amp;Anmeldung!$D$23&amp;", "&amp;Anmeldung!$E$23&amp;" / "&amp;Anmeldung!$G$23&amp;" / "&amp;Anmeldung!$J$23,"")</f>
        <v/>
      </c>
      <c r="GM10" t="str">
        <f>IF(AND(16&lt;&gt;35,Anmeldung!$D$23&lt;&gt;"",Anmeldung!$G$23=Anmeldung!$G$42,Anmeldung!$J$23=Anmeldung!$J$42,(Anmeldung!$B$23&amp;": "&amp;Anmeldung!$D$23&amp;", "&amp;Anmeldung!$E$23&amp;" / "&amp;Anmeldung!$G$23&amp;" / "&amp;Anmeldung!$J$23)&lt;&gt;Anmeldung!$O$42),Anmeldung!$B$23&amp;": "&amp;Anmeldung!$D$23&amp;", "&amp;Anmeldung!$E$23&amp;" / "&amp;Anmeldung!$G$23&amp;" / "&amp;Anmeldung!$J$23,"")</f>
        <v/>
      </c>
      <c r="GN10" t="str">
        <f>IF(AND(16&lt;&gt;35,Anmeldung!$D$23&lt;&gt;"",Anmeldung!$G$23&lt;&gt;Anmeldung!$G$42,(Anmeldung!$B$23&amp;": "&amp;Anmeldung!$D$23&amp;", "&amp;Anmeldung!$E$23&amp;" / "&amp;Anmeldung!$G$23&amp;" / "&amp;Anmeldung!$J$23)&lt;&gt;Anmeldung!$S$42),Anmeldung!$B$23&amp;": "&amp;Anmeldung!$D$23&amp;", "&amp;Anmeldung!$E$23&amp;" / "&amp;Anmeldung!$G$23&amp;" / "&amp;Anmeldung!$J$23,"")</f>
        <v/>
      </c>
      <c r="GO10" t="str">
        <f>IF(AND(16&lt;&gt;35,Anmeldung!$D$23&lt;&gt;"",(Anmeldung!$B$23&amp;": "&amp;Anmeldung!$D$23&amp;", "&amp;Anmeldung!$E$23&amp;" / "&amp;Anmeldung!$G$23&amp;" / "&amp;Anmeldung!$J$23)&lt;&gt;Anmeldung!$R$42),Anmeldung!$B$23&amp;": "&amp;Anmeldung!$D$23&amp;", "&amp;Anmeldung!$E$23&amp;" / "&amp;Anmeldung!$G$23&amp;" / "&amp;Anmeldung!$J$23,"")</f>
        <v/>
      </c>
      <c r="GP10" t="str">
        <f>IF(AND(15&lt;&gt;34,Anmeldung!$D$23&lt;&gt;"",Anmeldung!$U$23="Ja",Anmeldung!$G$23=Anmeldung!$G$42,Anmeldung!$J$23=Anmeldung!$J$42),Anmeldung!$B$23&amp;": "&amp;Anmeldung!$D$23&amp;", "&amp;Anmeldung!$E$23&amp;" / "&amp;Anmeldung!$G$23&amp;" / "&amp;Anmeldung!$J$23,"")</f>
        <v/>
      </c>
      <c r="GS10" t="str">
        <f>IF(AND(16&lt;&gt;36,Anmeldung!$D$23&lt;&gt;"",Anmeldung!$G$23=Anmeldung!$G$43,Anmeldung!$J$23=Anmeldung!$J$43),Anmeldung!$B$23&amp;": "&amp;Anmeldung!$D$23&amp;", "&amp;Anmeldung!$E$23&amp;" / "&amp;Anmeldung!$G$23&amp;" / "&amp;Anmeldung!$J$23,"")</f>
        <v/>
      </c>
      <c r="GT10" t="str">
        <f>IF(AND(16&lt;&gt;36,Anmeldung!$D$23&lt;&gt;"",Anmeldung!$G$23=Anmeldung!$G$43,Anmeldung!$J$23=Anmeldung!$J$43,(Anmeldung!$B$23&amp;": "&amp;Anmeldung!$D$23&amp;", "&amp;Anmeldung!$E$23&amp;" / "&amp;Anmeldung!$G$23&amp;" / "&amp;Anmeldung!$J$23)&lt;&gt;Anmeldung!$P$43),Anmeldung!$B$23&amp;": "&amp;Anmeldung!$D$23&amp;", "&amp;Anmeldung!$E$23&amp;" / "&amp;Anmeldung!$G$23&amp;" / "&amp;Anmeldung!$J$23,"")</f>
        <v/>
      </c>
      <c r="GU10" t="str">
        <f>IF(AND(16&lt;&gt;36,Anmeldung!$D$23&lt;&gt;"",Anmeldung!$G$23=Anmeldung!$G$43,Anmeldung!$J$23=Anmeldung!$J$43,(Anmeldung!$B$23&amp;": "&amp;Anmeldung!$D$23&amp;", "&amp;Anmeldung!$E$23&amp;" / "&amp;Anmeldung!$G$23&amp;" / "&amp;Anmeldung!$J$23)&lt;&gt;Anmeldung!$O$43),Anmeldung!$B$23&amp;": "&amp;Anmeldung!$D$23&amp;", "&amp;Anmeldung!$E$23&amp;" / "&amp;Anmeldung!$G$23&amp;" / "&amp;Anmeldung!$J$23,"")</f>
        <v/>
      </c>
      <c r="GV10" t="str">
        <f>IF(AND(16&lt;&gt;36,Anmeldung!$D$23&lt;&gt;"",Anmeldung!$G$23&lt;&gt;Anmeldung!$G$43,(Anmeldung!$B$23&amp;": "&amp;Anmeldung!$D$23&amp;", "&amp;Anmeldung!$E$23&amp;" / "&amp;Anmeldung!$G$23&amp;" / "&amp;Anmeldung!$J$23)&lt;&gt;Anmeldung!$S$43),Anmeldung!$B$23&amp;": "&amp;Anmeldung!$D$23&amp;", "&amp;Anmeldung!$E$23&amp;" / "&amp;Anmeldung!$G$23&amp;" / "&amp;Anmeldung!$J$23,"")</f>
        <v/>
      </c>
      <c r="GW10" t="str">
        <f>IF(AND(16&lt;&gt;36,Anmeldung!$D$23&lt;&gt;"",(Anmeldung!$B$23&amp;": "&amp;Anmeldung!$D$23&amp;", "&amp;Anmeldung!$E$23&amp;" / "&amp;Anmeldung!$G$23&amp;" / "&amp;Anmeldung!$J$23)&lt;&gt;Anmeldung!$R$43),Anmeldung!$B$23&amp;": "&amp;Anmeldung!$D$23&amp;", "&amp;Anmeldung!$E$23&amp;" / "&amp;Anmeldung!$G$23&amp;" / "&amp;Anmeldung!$J$23,"")</f>
        <v/>
      </c>
      <c r="GX10" t="str">
        <f>IF(AND(15&lt;&gt;35,Anmeldung!$D$23&lt;&gt;"",Anmeldung!$U$23="Ja",Anmeldung!$G$23=Anmeldung!$G$43,Anmeldung!$J$23=Anmeldung!$J$43),Anmeldung!$B$23&amp;": "&amp;Anmeldung!$D$23&amp;", "&amp;Anmeldung!$E$23&amp;" / "&amp;Anmeldung!$G$23&amp;" / "&amp;Anmeldung!$J$23,"")</f>
        <v/>
      </c>
      <c r="HA10" t="str">
        <f>IF(AND(16&lt;&gt;37,Anmeldung!$D$23&lt;&gt;"",Anmeldung!$G$23=Anmeldung!$G$44,Anmeldung!$J$23=Anmeldung!$J$44),Anmeldung!$B$23&amp;": "&amp;Anmeldung!$D$23&amp;", "&amp;Anmeldung!$E$23&amp;" / "&amp;Anmeldung!$G$23&amp;" / "&amp;Anmeldung!$J$23,"")</f>
        <v/>
      </c>
      <c r="HB10" t="str">
        <f>IF(AND(16&lt;&gt;37,Anmeldung!$D$23&lt;&gt;"",Anmeldung!$G$23=Anmeldung!$G$44,Anmeldung!$J$23=Anmeldung!$J$44,(Anmeldung!$B$23&amp;": "&amp;Anmeldung!$D$23&amp;", "&amp;Anmeldung!$E$23&amp;" / "&amp;Anmeldung!$G$23&amp;" / "&amp;Anmeldung!$J$23)&lt;&gt;Anmeldung!$P$44),Anmeldung!$B$23&amp;": "&amp;Anmeldung!$D$23&amp;", "&amp;Anmeldung!$E$23&amp;" / "&amp;Anmeldung!$G$23&amp;" / "&amp;Anmeldung!$J$23,"")</f>
        <v/>
      </c>
      <c r="HC10" t="str">
        <f>IF(AND(16&lt;&gt;37,Anmeldung!$D$23&lt;&gt;"",Anmeldung!$G$23=Anmeldung!$G$44,Anmeldung!$J$23=Anmeldung!$J$44,(Anmeldung!$B$23&amp;": "&amp;Anmeldung!$D$23&amp;", "&amp;Anmeldung!$E$23&amp;" / "&amp;Anmeldung!$G$23&amp;" / "&amp;Anmeldung!$J$23)&lt;&gt;Anmeldung!$O$44),Anmeldung!$B$23&amp;": "&amp;Anmeldung!$D$23&amp;", "&amp;Anmeldung!$E$23&amp;" / "&amp;Anmeldung!$G$23&amp;" / "&amp;Anmeldung!$J$23,"")</f>
        <v/>
      </c>
      <c r="HD10" t="str">
        <f>IF(AND(16&lt;&gt;37,Anmeldung!$D$23&lt;&gt;"",Anmeldung!$G$23&lt;&gt;Anmeldung!$G$44,(Anmeldung!$B$23&amp;": "&amp;Anmeldung!$D$23&amp;", "&amp;Anmeldung!$E$23&amp;" / "&amp;Anmeldung!$G$23&amp;" / "&amp;Anmeldung!$J$23)&lt;&gt;Anmeldung!$S$44),Anmeldung!$B$23&amp;": "&amp;Anmeldung!$D$23&amp;", "&amp;Anmeldung!$E$23&amp;" / "&amp;Anmeldung!$G$23&amp;" / "&amp;Anmeldung!$J$23,"")</f>
        <v/>
      </c>
      <c r="HE10" t="str">
        <f>IF(AND(16&lt;&gt;37,Anmeldung!$D$23&lt;&gt;"",(Anmeldung!$B$23&amp;": "&amp;Anmeldung!$D$23&amp;", "&amp;Anmeldung!$E$23&amp;" / "&amp;Anmeldung!$G$23&amp;" / "&amp;Anmeldung!$J$23)&lt;&gt;Anmeldung!$R$44),Anmeldung!$B$23&amp;": "&amp;Anmeldung!$D$23&amp;", "&amp;Anmeldung!$E$23&amp;" / "&amp;Anmeldung!$G$23&amp;" / "&amp;Anmeldung!$J$23,"")</f>
        <v/>
      </c>
      <c r="HF10" t="str">
        <f>IF(AND(15&lt;&gt;36,Anmeldung!$D$23&lt;&gt;"",Anmeldung!$U$23="Ja",Anmeldung!$G$23=Anmeldung!$G$44,Anmeldung!$J$23=Anmeldung!$J$44),Anmeldung!$B$23&amp;": "&amp;Anmeldung!$D$23&amp;", "&amp;Anmeldung!$E$23&amp;" / "&amp;Anmeldung!$G$23&amp;" / "&amp;Anmeldung!$J$23,"")</f>
        <v/>
      </c>
      <c r="HI10" t="str">
        <f>IF(AND(16&lt;&gt;38,Anmeldung!$D$23&lt;&gt;"",Anmeldung!$G$23=Anmeldung!$G$45,Anmeldung!$J$23=Anmeldung!$J$45),Anmeldung!$B$23&amp;": "&amp;Anmeldung!$D$23&amp;", "&amp;Anmeldung!$E$23&amp;" / "&amp;Anmeldung!$G$23&amp;" / "&amp;Anmeldung!$J$23,"")</f>
        <v/>
      </c>
      <c r="HJ10" t="str">
        <f>IF(AND(16&lt;&gt;38,Anmeldung!$D$23&lt;&gt;"",Anmeldung!$G$23=Anmeldung!$G$45,Anmeldung!$J$23=Anmeldung!$J$45,(Anmeldung!$B$23&amp;": "&amp;Anmeldung!$D$23&amp;", "&amp;Anmeldung!$E$23&amp;" / "&amp;Anmeldung!$G$23&amp;" / "&amp;Anmeldung!$J$23)&lt;&gt;Anmeldung!$P$45),Anmeldung!$B$23&amp;": "&amp;Anmeldung!$D$23&amp;", "&amp;Anmeldung!$E$23&amp;" / "&amp;Anmeldung!$G$23&amp;" / "&amp;Anmeldung!$J$23,"")</f>
        <v/>
      </c>
      <c r="HK10" t="str">
        <f>IF(AND(16&lt;&gt;38,Anmeldung!$D$23&lt;&gt;"",Anmeldung!$G$23=Anmeldung!$G$45,Anmeldung!$J$23=Anmeldung!$J$45,(Anmeldung!$B$23&amp;": "&amp;Anmeldung!$D$23&amp;", "&amp;Anmeldung!$E$23&amp;" / "&amp;Anmeldung!$G$23&amp;" / "&amp;Anmeldung!$J$23)&lt;&gt;Anmeldung!$O$45),Anmeldung!$B$23&amp;": "&amp;Anmeldung!$D$23&amp;", "&amp;Anmeldung!$E$23&amp;" / "&amp;Anmeldung!$G$23&amp;" / "&amp;Anmeldung!$J$23,"")</f>
        <v/>
      </c>
      <c r="HL10" t="str">
        <f>IF(AND(16&lt;&gt;38,Anmeldung!$D$23&lt;&gt;"",Anmeldung!$G$23&lt;&gt;Anmeldung!$G$45,(Anmeldung!$B$23&amp;": "&amp;Anmeldung!$D$23&amp;", "&amp;Anmeldung!$E$23&amp;" / "&amp;Anmeldung!$G$23&amp;" / "&amp;Anmeldung!$J$23)&lt;&gt;Anmeldung!$S$45),Anmeldung!$B$23&amp;": "&amp;Anmeldung!$D$23&amp;", "&amp;Anmeldung!$E$23&amp;" / "&amp;Anmeldung!$G$23&amp;" / "&amp;Anmeldung!$J$23,"")</f>
        <v/>
      </c>
      <c r="HM10" t="str">
        <f>IF(AND(16&lt;&gt;38,Anmeldung!$D$23&lt;&gt;"",(Anmeldung!$B$23&amp;": "&amp;Anmeldung!$D$23&amp;", "&amp;Anmeldung!$E$23&amp;" / "&amp;Anmeldung!$G$23&amp;" / "&amp;Anmeldung!$J$23)&lt;&gt;Anmeldung!$R$45),Anmeldung!$B$23&amp;": "&amp;Anmeldung!$D$23&amp;", "&amp;Anmeldung!$E$23&amp;" / "&amp;Anmeldung!$G$23&amp;" / "&amp;Anmeldung!$J$23,"")</f>
        <v/>
      </c>
      <c r="HN10" t="str">
        <f>IF(AND(15&lt;&gt;37,Anmeldung!$D$23&lt;&gt;"",Anmeldung!$U$23="Ja",Anmeldung!$G$23=Anmeldung!$G$45,Anmeldung!$J$23=Anmeldung!$J$45),Anmeldung!$B$23&amp;": "&amp;Anmeldung!$D$23&amp;", "&amp;Anmeldung!$E$23&amp;" / "&amp;Anmeldung!$G$23&amp;" / "&amp;Anmeldung!$J$23,"")</f>
        <v/>
      </c>
      <c r="HQ10" t="str">
        <f>IF(AND(16&lt;&gt;39,Anmeldung!$D$23&lt;&gt;"",Anmeldung!$G$23=Anmeldung!$G$46,Anmeldung!$J$23=Anmeldung!$J$46),Anmeldung!$B$23&amp;": "&amp;Anmeldung!$D$23&amp;", "&amp;Anmeldung!$E$23&amp;" / "&amp;Anmeldung!$G$23&amp;" / "&amp;Anmeldung!$J$23,"")</f>
        <v/>
      </c>
      <c r="HR10" t="str">
        <f>IF(AND(16&lt;&gt;39,Anmeldung!$D$23&lt;&gt;"",Anmeldung!$G$23=Anmeldung!$G$46,Anmeldung!$J$23=Anmeldung!$J$46,(Anmeldung!$B$23&amp;": "&amp;Anmeldung!$D$23&amp;", "&amp;Anmeldung!$E$23&amp;" / "&amp;Anmeldung!$G$23&amp;" / "&amp;Anmeldung!$J$23)&lt;&gt;Anmeldung!$P$46),Anmeldung!$B$23&amp;": "&amp;Anmeldung!$D$23&amp;", "&amp;Anmeldung!$E$23&amp;" / "&amp;Anmeldung!$G$23&amp;" / "&amp;Anmeldung!$J$23,"")</f>
        <v/>
      </c>
      <c r="HS10" t="str">
        <f>IF(AND(16&lt;&gt;39,Anmeldung!$D$23&lt;&gt;"",Anmeldung!$G$23=Anmeldung!$G$46,Anmeldung!$J$23=Anmeldung!$J$46,(Anmeldung!$B$23&amp;": "&amp;Anmeldung!$D$23&amp;", "&amp;Anmeldung!$E$23&amp;" / "&amp;Anmeldung!$G$23&amp;" / "&amp;Anmeldung!$J$23)&lt;&gt;Anmeldung!$O$46),Anmeldung!$B$23&amp;": "&amp;Anmeldung!$D$23&amp;", "&amp;Anmeldung!$E$23&amp;" / "&amp;Anmeldung!$G$23&amp;" / "&amp;Anmeldung!$J$23,"")</f>
        <v/>
      </c>
      <c r="HT10" t="str">
        <f>IF(AND(16&lt;&gt;39,Anmeldung!$D$23&lt;&gt;"",Anmeldung!$G$23&lt;&gt;Anmeldung!$G$46,(Anmeldung!$B$23&amp;": "&amp;Anmeldung!$D$23&amp;", "&amp;Anmeldung!$E$23&amp;" / "&amp;Anmeldung!$G$23&amp;" / "&amp;Anmeldung!$J$23)&lt;&gt;Anmeldung!$S$46),Anmeldung!$B$23&amp;": "&amp;Anmeldung!$D$23&amp;", "&amp;Anmeldung!$E$23&amp;" / "&amp;Anmeldung!$G$23&amp;" / "&amp;Anmeldung!$J$23,"")</f>
        <v/>
      </c>
      <c r="HU10" t="str">
        <f>IF(AND(16&lt;&gt;39,Anmeldung!$D$23&lt;&gt;"",(Anmeldung!$B$23&amp;": "&amp;Anmeldung!$D$23&amp;", "&amp;Anmeldung!$E$23&amp;" / "&amp;Anmeldung!$G$23&amp;" / "&amp;Anmeldung!$J$23)&lt;&gt;Anmeldung!$R$46),Anmeldung!$B$23&amp;": "&amp;Anmeldung!$D$23&amp;", "&amp;Anmeldung!$E$23&amp;" / "&amp;Anmeldung!$G$23&amp;" / "&amp;Anmeldung!$J$23,"")</f>
        <v/>
      </c>
      <c r="HV10" t="str">
        <f>IF(AND(15&lt;&gt;38,Anmeldung!$D$23&lt;&gt;"",Anmeldung!$U$23="Ja",Anmeldung!$G$23=Anmeldung!$G$46,Anmeldung!$J$23=Anmeldung!$J$46),Anmeldung!$B$23&amp;": "&amp;Anmeldung!$D$23&amp;", "&amp;Anmeldung!$E$23&amp;" / "&amp;Anmeldung!$G$23&amp;" / "&amp;Anmeldung!$J$23,"")</f>
        <v/>
      </c>
      <c r="HY10" t="str">
        <f>IF(AND(16&lt;&gt;40,Anmeldung!$D$23&lt;&gt;"",Anmeldung!$G$23=Anmeldung!$G$47,Anmeldung!$J$23=Anmeldung!$J$47),Anmeldung!$B$23&amp;": "&amp;Anmeldung!$D$23&amp;", "&amp;Anmeldung!$E$23&amp;" / "&amp;Anmeldung!$G$23&amp;" / "&amp;Anmeldung!$J$23,"")</f>
        <v/>
      </c>
      <c r="HZ10" t="str">
        <f>IF(AND(16&lt;&gt;40,Anmeldung!$D$23&lt;&gt;"",Anmeldung!$G$23=Anmeldung!$G$47,Anmeldung!$J$23=Anmeldung!$J$47,(Anmeldung!$B$23&amp;": "&amp;Anmeldung!$D$23&amp;", "&amp;Anmeldung!$E$23&amp;" / "&amp;Anmeldung!$G$23&amp;" / "&amp;Anmeldung!$J$23)&lt;&gt;Anmeldung!$P$47),Anmeldung!$B$23&amp;": "&amp;Anmeldung!$D$23&amp;", "&amp;Anmeldung!$E$23&amp;" / "&amp;Anmeldung!$G$23&amp;" / "&amp;Anmeldung!$J$23,"")</f>
        <v/>
      </c>
      <c r="IA10" t="str">
        <f>IF(AND(16&lt;&gt;40,Anmeldung!$D$23&lt;&gt;"",Anmeldung!$G$23=Anmeldung!$G$47,Anmeldung!$J$23=Anmeldung!$J$47,(Anmeldung!$B$23&amp;": "&amp;Anmeldung!$D$23&amp;", "&amp;Anmeldung!$E$23&amp;" / "&amp;Anmeldung!$G$23&amp;" / "&amp;Anmeldung!$J$23)&lt;&gt;Anmeldung!$O$47),Anmeldung!$B$23&amp;": "&amp;Anmeldung!$D$23&amp;", "&amp;Anmeldung!$E$23&amp;" / "&amp;Anmeldung!$G$23&amp;" / "&amp;Anmeldung!$J$23,"")</f>
        <v/>
      </c>
      <c r="IB10" t="str">
        <f>IF(AND(16&lt;&gt;40,Anmeldung!$D$23&lt;&gt;"",Anmeldung!$G$23&lt;&gt;Anmeldung!$G$47,(Anmeldung!$B$23&amp;": "&amp;Anmeldung!$D$23&amp;", "&amp;Anmeldung!$E$23&amp;" / "&amp;Anmeldung!$G$23&amp;" / "&amp;Anmeldung!$J$23)&lt;&gt;Anmeldung!$S$47),Anmeldung!$B$23&amp;": "&amp;Anmeldung!$D$23&amp;", "&amp;Anmeldung!$E$23&amp;" / "&amp;Anmeldung!$G$23&amp;" / "&amp;Anmeldung!$J$23,"")</f>
        <v/>
      </c>
      <c r="IC10" t="str">
        <f>IF(AND(16&lt;&gt;40,Anmeldung!$D$23&lt;&gt;"",(Anmeldung!$B$23&amp;": "&amp;Anmeldung!$D$23&amp;", "&amp;Anmeldung!$E$23&amp;" / "&amp;Anmeldung!$G$23&amp;" / "&amp;Anmeldung!$J$23)&lt;&gt;Anmeldung!$R$47),Anmeldung!$B$23&amp;": "&amp;Anmeldung!$D$23&amp;", "&amp;Anmeldung!$E$23&amp;" / "&amp;Anmeldung!$G$23&amp;" / "&amp;Anmeldung!$J$23,"")</f>
        <v/>
      </c>
      <c r="ID10" t="str">
        <f>IF(AND(15&lt;&gt;39,Anmeldung!$D$23&lt;&gt;"",Anmeldung!$U$23="Ja",Anmeldung!$G$23=Anmeldung!$G$47,Anmeldung!$J$23=Anmeldung!$J$47),Anmeldung!$B$23&amp;": "&amp;Anmeldung!$D$23&amp;", "&amp;Anmeldung!$E$23&amp;" / "&amp;Anmeldung!$G$23&amp;" / "&amp;Anmeldung!$J$23,"")</f>
        <v/>
      </c>
    </row>
    <row r="11" spans="1:238" ht="14.25" customHeight="1" x14ac:dyDescent="0.3">
      <c r="A11" t="str">
        <f>IF(AND(17&lt;&gt;11,Anmeldung!$D$24&lt;&gt;"",Anmeldung!$G$24=Anmeldung!$G$18,Anmeldung!$J$24=Anmeldung!$J$18),Anmeldung!$B$24&amp;": "&amp;Anmeldung!$D$24&amp;", "&amp;Anmeldung!$E$24&amp;" / "&amp;Anmeldung!$G$24&amp;" / "&amp;Anmeldung!$J$24,"")</f>
        <v/>
      </c>
      <c r="B11" t="str">
        <f>IF(AND(17&lt;&gt;11,Anmeldung!$D$24&lt;&gt;"",Anmeldung!$G$24=Anmeldung!$G$18,Anmeldung!$J$24=Anmeldung!$J$18,(Anmeldung!$B$24&amp;": "&amp;Anmeldung!$D$24&amp;", "&amp;Anmeldung!$E$24&amp;" / "&amp;Anmeldung!$G$24&amp;" / "&amp;Anmeldung!$J$24)&lt;&gt;Anmeldung!$P$18),Anmeldung!$B$24&amp;": "&amp;Anmeldung!$D$24&amp;", "&amp;Anmeldung!$E$24&amp;" / "&amp;Anmeldung!$G$24&amp;" / "&amp;Anmeldung!$J$24,"")</f>
        <v/>
      </c>
      <c r="C11" t="str">
        <f>IF(AND(17&lt;&gt;11,Anmeldung!$D$24&lt;&gt;"",Anmeldung!$G$24=Anmeldung!$G$18,Anmeldung!$J$24=Anmeldung!$J$18,(Anmeldung!$B$24&amp;": "&amp;Anmeldung!$D$24&amp;", "&amp;Anmeldung!$E$24&amp;" / "&amp;Anmeldung!$G$24&amp;" / "&amp;Anmeldung!$J$24)&lt;&gt;Anmeldung!$O$18),Anmeldung!$B$24&amp;": "&amp;Anmeldung!$D$24&amp;", "&amp;Anmeldung!$E$24&amp;" / "&amp;Anmeldung!$G$24&amp;" / "&amp;Anmeldung!$J$24,"")</f>
        <v/>
      </c>
      <c r="D11" t="str">
        <f>IF(AND(17&lt;&gt;11,Anmeldung!$D$24&lt;&gt;"",Anmeldung!$G$24&lt;&gt;Anmeldung!$G$18,(Anmeldung!$B$24&amp;": "&amp;Anmeldung!$D$24&amp;", "&amp;Anmeldung!$E$24&amp;" / "&amp;Anmeldung!$G$24&amp;" / "&amp;Anmeldung!$J$24)&lt;&gt;Anmeldung!$S$18),Anmeldung!$B$24&amp;": "&amp;Anmeldung!$D$24&amp;", "&amp;Anmeldung!$E$24&amp;" / "&amp;Anmeldung!$G$24&amp;" / "&amp;Anmeldung!$J$24,"")</f>
        <v/>
      </c>
      <c r="E11" t="str">
        <f>IF(AND(17&lt;&gt;11,Anmeldung!$D$24&lt;&gt;"",(Anmeldung!$B$24&amp;": "&amp;Anmeldung!$D$24&amp;", "&amp;Anmeldung!$E$24&amp;" / "&amp;Anmeldung!$G$24&amp;" / "&amp;Anmeldung!$J$24)&lt;&gt;Anmeldung!$R$18),Anmeldung!$B$24&amp;": "&amp;Anmeldung!$D$24&amp;", "&amp;Anmeldung!$E$24&amp;" / "&amp;Anmeldung!$G$24&amp;" / "&amp;Anmeldung!$J$24,"")</f>
        <v/>
      </c>
      <c r="F11" t="str">
        <f>IF(AND(16&lt;&gt;10,Anmeldung!$D$24&lt;&gt;"",Anmeldung!$U$24="Ja",Anmeldung!$G$24=Anmeldung!$G$18,Anmeldung!$J$24=Anmeldung!$J$18),Anmeldung!$B$24&amp;": "&amp;Anmeldung!$D$24&amp;", "&amp;Anmeldung!$E$24&amp;" / "&amp;Anmeldung!$G$24&amp;" / "&amp;Anmeldung!$J$24,"")</f>
        <v/>
      </c>
      <c r="I11" t="str">
        <f>IF(AND(17&lt;&gt;12,Anmeldung!$D$24&lt;&gt;"",Anmeldung!$G$24=Anmeldung!$G$19,Anmeldung!$J$24=Anmeldung!$J$19),Anmeldung!$B$24&amp;": "&amp;Anmeldung!$D$24&amp;", "&amp;Anmeldung!$E$24&amp;" / "&amp;Anmeldung!$G$24&amp;" / "&amp;Anmeldung!$J$24,"")</f>
        <v/>
      </c>
      <c r="J11" t="str">
        <f>IF(AND(17&lt;&gt;12,Anmeldung!$D$24&lt;&gt;"",Anmeldung!$G$24=Anmeldung!$G$19,Anmeldung!$J$24=Anmeldung!$J$19,(Anmeldung!$B$24&amp;": "&amp;Anmeldung!$D$24&amp;", "&amp;Anmeldung!$E$24&amp;" / "&amp;Anmeldung!$G$24&amp;" / "&amp;Anmeldung!$J$24)&lt;&gt;Anmeldung!$P$19),Anmeldung!$B$24&amp;": "&amp;Anmeldung!$D$24&amp;", "&amp;Anmeldung!$E$24&amp;" / "&amp;Anmeldung!$G$24&amp;" / "&amp;Anmeldung!$J$24,"")</f>
        <v/>
      </c>
      <c r="K11" t="str">
        <f>IF(AND(17&lt;&gt;12,Anmeldung!$D$24&lt;&gt;"",Anmeldung!$G$24=Anmeldung!$G$19,Anmeldung!$J$24=Anmeldung!$J$19,(Anmeldung!$B$24&amp;": "&amp;Anmeldung!$D$24&amp;", "&amp;Anmeldung!$E$24&amp;" / "&amp;Anmeldung!$G$24&amp;" / "&amp;Anmeldung!$J$24)&lt;&gt;Anmeldung!$O$19),Anmeldung!$B$24&amp;": "&amp;Anmeldung!$D$24&amp;", "&amp;Anmeldung!$E$24&amp;" / "&amp;Anmeldung!$G$24&amp;" / "&amp;Anmeldung!$J$24,"")</f>
        <v/>
      </c>
      <c r="L11" t="str">
        <f>IF(AND(17&lt;&gt;12,Anmeldung!$D$24&lt;&gt;"",Anmeldung!$G$24&lt;&gt;Anmeldung!$G$19,(Anmeldung!$B$24&amp;": "&amp;Anmeldung!$D$24&amp;", "&amp;Anmeldung!$E$24&amp;" / "&amp;Anmeldung!$G$24&amp;" / "&amp;Anmeldung!$J$24)&lt;&gt;Anmeldung!$S$19),Anmeldung!$B$24&amp;": "&amp;Anmeldung!$D$24&amp;", "&amp;Anmeldung!$E$24&amp;" / "&amp;Anmeldung!$G$24&amp;" / "&amp;Anmeldung!$J$24,"")</f>
        <v/>
      </c>
      <c r="M11" t="str">
        <f>IF(AND(17&lt;&gt;12,Anmeldung!$D$24&lt;&gt;"",(Anmeldung!$B$24&amp;": "&amp;Anmeldung!$D$24&amp;", "&amp;Anmeldung!$E$24&amp;" / "&amp;Anmeldung!$G$24&amp;" / "&amp;Anmeldung!$J$24)&lt;&gt;Anmeldung!$R$19),Anmeldung!$B$24&amp;": "&amp;Anmeldung!$D$24&amp;", "&amp;Anmeldung!$E$24&amp;" / "&amp;Anmeldung!$G$24&amp;" / "&amp;Anmeldung!$J$24,"")</f>
        <v/>
      </c>
      <c r="N11" t="str">
        <f>IF(AND(16&lt;&gt;11,Anmeldung!$D$24&lt;&gt;"",Anmeldung!$U$24="Ja",Anmeldung!$G$24=Anmeldung!$G$19,Anmeldung!$J$24=Anmeldung!$J$19),Anmeldung!$B$24&amp;": "&amp;Anmeldung!$D$24&amp;", "&amp;Anmeldung!$E$24&amp;" / "&amp;Anmeldung!$G$24&amp;" / "&amp;Anmeldung!$J$24,"")</f>
        <v/>
      </c>
      <c r="Q11" t="str">
        <f>IF(AND(17&lt;&gt;13,Anmeldung!$D$24&lt;&gt;"",Anmeldung!$G$24=Anmeldung!$G$20,Anmeldung!$J$24=Anmeldung!$J$20),Anmeldung!$B$24&amp;": "&amp;Anmeldung!$D$24&amp;", "&amp;Anmeldung!$E$24&amp;" / "&amp;Anmeldung!$G$24&amp;" / "&amp;Anmeldung!$J$24,"")</f>
        <v/>
      </c>
      <c r="R11" t="str">
        <f>IF(AND(17&lt;&gt;13,Anmeldung!$D$24&lt;&gt;"",Anmeldung!$G$24=Anmeldung!$G$20,Anmeldung!$J$24=Anmeldung!$J$20,(Anmeldung!$B$24&amp;": "&amp;Anmeldung!$D$24&amp;", "&amp;Anmeldung!$E$24&amp;" / "&amp;Anmeldung!$G$24&amp;" / "&amp;Anmeldung!$J$24)&lt;&gt;Anmeldung!$P$20),Anmeldung!$B$24&amp;": "&amp;Anmeldung!$D$24&amp;", "&amp;Anmeldung!$E$24&amp;" / "&amp;Anmeldung!$G$24&amp;" / "&amp;Anmeldung!$J$24,"")</f>
        <v/>
      </c>
      <c r="S11" t="str">
        <f>IF(AND(17&lt;&gt;13,Anmeldung!$D$24&lt;&gt;"",Anmeldung!$G$24=Anmeldung!$G$20,Anmeldung!$J$24=Anmeldung!$J$20,(Anmeldung!$B$24&amp;": "&amp;Anmeldung!$D$24&amp;", "&amp;Anmeldung!$E$24&amp;" / "&amp;Anmeldung!$G$24&amp;" / "&amp;Anmeldung!$J$24)&lt;&gt;Anmeldung!$O$20),Anmeldung!$B$24&amp;": "&amp;Anmeldung!$D$24&amp;", "&amp;Anmeldung!$E$24&amp;" / "&amp;Anmeldung!$G$24&amp;" / "&amp;Anmeldung!$J$24,"")</f>
        <v/>
      </c>
      <c r="T11" t="str">
        <f>IF(AND(17&lt;&gt;13,Anmeldung!$D$24&lt;&gt;"",Anmeldung!$G$24&lt;&gt;Anmeldung!$G$20,(Anmeldung!$B$24&amp;": "&amp;Anmeldung!$D$24&amp;", "&amp;Anmeldung!$E$24&amp;" / "&amp;Anmeldung!$G$24&amp;" / "&amp;Anmeldung!$J$24)&lt;&gt;Anmeldung!$S$20),Anmeldung!$B$24&amp;": "&amp;Anmeldung!$D$24&amp;", "&amp;Anmeldung!$E$24&amp;" / "&amp;Anmeldung!$G$24&amp;" / "&amp;Anmeldung!$J$24,"")</f>
        <v/>
      </c>
      <c r="U11" t="str">
        <f>IF(AND(17&lt;&gt;13,Anmeldung!$D$24&lt;&gt;"",(Anmeldung!$B$24&amp;": "&amp;Anmeldung!$D$24&amp;", "&amp;Anmeldung!$E$24&amp;" / "&amp;Anmeldung!$G$24&amp;" / "&amp;Anmeldung!$J$24)&lt;&gt;Anmeldung!$R$20),Anmeldung!$B$24&amp;": "&amp;Anmeldung!$D$24&amp;", "&amp;Anmeldung!$E$24&amp;" / "&amp;Anmeldung!$G$24&amp;" / "&amp;Anmeldung!$J$24,"")</f>
        <v/>
      </c>
      <c r="V11" t="str">
        <f>IF(AND(16&lt;&gt;12,Anmeldung!$D$24&lt;&gt;"",Anmeldung!$U$24="Ja",Anmeldung!$G$24=Anmeldung!$G$20,Anmeldung!$J$24=Anmeldung!$J$20),Anmeldung!$B$24&amp;": "&amp;Anmeldung!$D$24&amp;", "&amp;Anmeldung!$E$24&amp;" / "&amp;Anmeldung!$G$24&amp;" / "&amp;Anmeldung!$J$24,"")</f>
        <v/>
      </c>
      <c r="Y11" t="str">
        <f>IF(AND(17&lt;&gt;14,Anmeldung!$D$24&lt;&gt;"",Anmeldung!$G$24=Anmeldung!$G$21,Anmeldung!$J$24=Anmeldung!$J$21),Anmeldung!$B$24&amp;": "&amp;Anmeldung!$D$24&amp;", "&amp;Anmeldung!$E$24&amp;" / "&amp;Anmeldung!$G$24&amp;" / "&amp;Anmeldung!$J$24,"")</f>
        <v/>
      </c>
      <c r="Z11" t="str">
        <f>IF(AND(17&lt;&gt;14,Anmeldung!$D$24&lt;&gt;"",Anmeldung!$G$24=Anmeldung!$G$21,Anmeldung!$J$24=Anmeldung!$J$21,(Anmeldung!$B$24&amp;": "&amp;Anmeldung!$D$24&amp;", "&amp;Anmeldung!$E$24&amp;" / "&amp;Anmeldung!$G$24&amp;" / "&amp;Anmeldung!$J$24)&lt;&gt;Anmeldung!$P$21),Anmeldung!$B$24&amp;": "&amp;Anmeldung!$D$24&amp;", "&amp;Anmeldung!$E$24&amp;" / "&amp;Anmeldung!$G$24&amp;" / "&amp;Anmeldung!$J$24,"")</f>
        <v/>
      </c>
      <c r="AA11" t="str">
        <f>IF(AND(17&lt;&gt;14,Anmeldung!$D$24&lt;&gt;"",Anmeldung!$G$24=Anmeldung!$G$21,Anmeldung!$J$24=Anmeldung!$J$21,(Anmeldung!$B$24&amp;": "&amp;Anmeldung!$D$24&amp;", "&amp;Anmeldung!$E$24&amp;" / "&amp;Anmeldung!$G$24&amp;" / "&amp;Anmeldung!$J$24)&lt;&gt;Anmeldung!$O$21),Anmeldung!$B$24&amp;": "&amp;Anmeldung!$D$24&amp;", "&amp;Anmeldung!$E$24&amp;" / "&amp;Anmeldung!$G$24&amp;" / "&amp;Anmeldung!$J$24,"")</f>
        <v/>
      </c>
      <c r="AB11" t="str">
        <f>IF(AND(17&lt;&gt;14,Anmeldung!$D$24&lt;&gt;"",Anmeldung!$G$24&lt;&gt;Anmeldung!$G$21,(Anmeldung!$B$24&amp;": "&amp;Anmeldung!$D$24&amp;", "&amp;Anmeldung!$E$24&amp;" / "&amp;Anmeldung!$G$24&amp;" / "&amp;Anmeldung!$J$24)&lt;&gt;Anmeldung!$S$21),Anmeldung!$B$24&amp;": "&amp;Anmeldung!$D$24&amp;", "&amp;Anmeldung!$E$24&amp;" / "&amp;Anmeldung!$G$24&amp;" / "&amp;Anmeldung!$J$24,"")</f>
        <v/>
      </c>
      <c r="AC11" t="str">
        <f>IF(AND(17&lt;&gt;14,Anmeldung!$D$24&lt;&gt;"",(Anmeldung!$B$24&amp;": "&amp;Anmeldung!$D$24&amp;", "&amp;Anmeldung!$E$24&amp;" / "&amp;Anmeldung!$G$24&amp;" / "&amp;Anmeldung!$J$24)&lt;&gt;Anmeldung!$R$21),Anmeldung!$B$24&amp;": "&amp;Anmeldung!$D$24&amp;", "&amp;Anmeldung!$E$24&amp;" / "&amp;Anmeldung!$G$24&amp;" / "&amp;Anmeldung!$J$24,"")</f>
        <v/>
      </c>
      <c r="AD11" t="str">
        <f>IF(AND(16&lt;&gt;13,Anmeldung!$D$24&lt;&gt;"",Anmeldung!$U$24="Ja",Anmeldung!$G$24=Anmeldung!$G$21,Anmeldung!$J$24=Anmeldung!$J$21),Anmeldung!$B$24&amp;": "&amp;Anmeldung!$D$24&amp;", "&amp;Anmeldung!$E$24&amp;" / "&amp;Anmeldung!$G$24&amp;" / "&amp;Anmeldung!$J$24,"")</f>
        <v/>
      </c>
      <c r="AG11" t="str">
        <f>IF(AND(17&lt;&gt;15,Anmeldung!$D$24&lt;&gt;"",Anmeldung!$G$24=Anmeldung!$G$22,Anmeldung!$J$24=Anmeldung!$J$22),Anmeldung!$B$24&amp;": "&amp;Anmeldung!$D$24&amp;", "&amp;Anmeldung!$E$24&amp;" / "&amp;Anmeldung!$G$24&amp;" / "&amp;Anmeldung!$J$24,"")</f>
        <v/>
      </c>
      <c r="AH11" t="str">
        <f>IF(AND(17&lt;&gt;15,Anmeldung!$D$24&lt;&gt;"",Anmeldung!$G$24=Anmeldung!$G$22,Anmeldung!$J$24=Anmeldung!$J$22,(Anmeldung!$B$24&amp;": "&amp;Anmeldung!$D$24&amp;", "&amp;Anmeldung!$E$24&amp;" / "&amp;Anmeldung!$G$24&amp;" / "&amp;Anmeldung!$J$24)&lt;&gt;Anmeldung!$P$22),Anmeldung!$B$24&amp;": "&amp;Anmeldung!$D$24&amp;", "&amp;Anmeldung!$E$24&amp;" / "&amp;Anmeldung!$G$24&amp;" / "&amp;Anmeldung!$J$24,"")</f>
        <v/>
      </c>
      <c r="AI11" t="str">
        <f>IF(AND(17&lt;&gt;15,Anmeldung!$D$24&lt;&gt;"",Anmeldung!$G$24=Anmeldung!$G$22,Anmeldung!$J$24=Anmeldung!$J$22,(Anmeldung!$B$24&amp;": "&amp;Anmeldung!$D$24&amp;", "&amp;Anmeldung!$E$24&amp;" / "&amp;Anmeldung!$G$24&amp;" / "&amp;Anmeldung!$J$24)&lt;&gt;Anmeldung!$O$22),Anmeldung!$B$24&amp;": "&amp;Anmeldung!$D$24&amp;", "&amp;Anmeldung!$E$24&amp;" / "&amp;Anmeldung!$G$24&amp;" / "&amp;Anmeldung!$J$24,"")</f>
        <v/>
      </c>
      <c r="AJ11" t="str">
        <f>IF(AND(17&lt;&gt;15,Anmeldung!$D$24&lt;&gt;"",Anmeldung!$G$24&lt;&gt;Anmeldung!$G$22,(Anmeldung!$B$24&amp;": "&amp;Anmeldung!$D$24&amp;", "&amp;Anmeldung!$E$24&amp;" / "&amp;Anmeldung!$G$24&amp;" / "&amp;Anmeldung!$J$24)&lt;&gt;Anmeldung!$S$22),Anmeldung!$B$24&amp;": "&amp;Anmeldung!$D$24&amp;", "&amp;Anmeldung!$E$24&amp;" / "&amp;Anmeldung!$G$24&amp;" / "&amp;Anmeldung!$J$24,"")</f>
        <v/>
      </c>
      <c r="AK11" t="str">
        <f>IF(AND(17&lt;&gt;15,Anmeldung!$D$24&lt;&gt;"",(Anmeldung!$B$24&amp;": "&amp;Anmeldung!$D$24&amp;", "&amp;Anmeldung!$E$24&amp;" / "&amp;Anmeldung!$G$24&amp;" / "&amp;Anmeldung!$J$24)&lt;&gt;Anmeldung!$R$22),Anmeldung!$B$24&amp;": "&amp;Anmeldung!$D$24&amp;", "&amp;Anmeldung!$E$24&amp;" / "&amp;Anmeldung!$G$24&amp;" / "&amp;Anmeldung!$J$24,"")</f>
        <v/>
      </c>
      <c r="AL11" t="str">
        <f>IF(AND(16&lt;&gt;14,Anmeldung!$D$24&lt;&gt;"",Anmeldung!$U$24="Ja",Anmeldung!$G$24=Anmeldung!$G$22,Anmeldung!$J$24=Anmeldung!$J$22),Anmeldung!$B$24&amp;": "&amp;Anmeldung!$D$24&amp;", "&amp;Anmeldung!$E$24&amp;" / "&amp;Anmeldung!$G$24&amp;" / "&amp;Anmeldung!$J$24,"")</f>
        <v/>
      </c>
      <c r="AO11" t="str">
        <f>IF(AND(17&lt;&gt;16,Anmeldung!$D$24&lt;&gt;"",Anmeldung!$G$24=Anmeldung!$G$23,Anmeldung!$J$24=Anmeldung!$J$23),Anmeldung!$B$24&amp;": "&amp;Anmeldung!$D$24&amp;", "&amp;Anmeldung!$E$24&amp;" / "&amp;Anmeldung!$G$24&amp;" / "&amp;Anmeldung!$J$24,"")</f>
        <v/>
      </c>
      <c r="AP11" t="str">
        <f>IF(AND(17&lt;&gt;16,Anmeldung!$D$24&lt;&gt;"",Anmeldung!$G$24=Anmeldung!$G$23,Anmeldung!$J$24=Anmeldung!$J$23,(Anmeldung!$B$24&amp;": "&amp;Anmeldung!$D$24&amp;", "&amp;Anmeldung!$E$24&amp;" / "&amp;Anmeldung!$G$24&amp;" / "&amp;Anmeldung!$J$24)&lt;&gt;Anmeldung!$P$23),Anmeldung!$B$24&amp;": "&amp;Anmeldung!$D$24&amp;", "&amp;Anmeldung!$E$24&amp;" / "&amp;Anmeldung!$G$24&amp;" / "&amp;Anmeldung!$J$24,"")</f>
        <v/>
      </c>
      <c r="AQ11" t="str">
        <f>IF(AND(17&lt;&gt;16,Anmeldung!$D$24&lt;&gt;"",Anmeldung!$G$24=Anmeldung!$G$23,Anmeldung!$J$24=Anmeldung!$J$23,(Anmeldung!$B$24&amp;": "&amp;Anmeldung!$D$24&amp;", "&amp;Anmeldung!$E$24&amp;" / "&amp;Anmeldung!$G$24&amp;" / "&amp;Anmeldung!$J$24)&lt;&gt;Anmeldung!$O$23),Anmeldung!$B$24&amp;": "&amp;Anmeldung!$D$24&amp;", "&amp;Anmeldung!$E$24&amp;" / "&amp;Anmeldung!$G$24&amp;" / "&amp;Anmeldung!$J$24,"")</f>
        <v/>
      </c>
      <c r="AR11" t="str">
        <f>IF(AND(17&lt;&gt;16,Anmeldung!$D$24&lt;&gt;"",Anmeldung!$G$24&lt;&gt;Anmeldung!$G$23,(Anmeldung!$B$24&amp;": "&amp;Anmeldung!$D$24&amp;", "&amp;Anmeldung!$E$24&amp;" / "&amp;Anmeldung!$G$24&amp;" / "&amp;Anmeldung!$J$24)&lt;&gt;Anmeldung!$S$23),Anmeldung!$B$24&amp;": "&amp;Anmeldung!$D$24&amp;", "&amp;Anmeldung!$E$24&amp;" / "&amp;Anmeldung!$G$24&amp;" / "&amp;Anmeldung!$J$24,"")</f>
        <v/>
      </c>
      <c r="AS11" t="str">
        <f>IF(AND(17&lt;&gt;16,Anmeldung!$D$24&lt;&gt;"",(Anmeldung!$B$24&amp;": "&amp;Anmeldung!$D$24&amp;", "&amp;Anmeldung!$E$24&amp;" / "&amp;Anmeldung!$G$24&amp;" / "&amp;Anmeldung!$J$24)&lt;&gt;Anmeldung!$R$23),Anmeldung!$B$24&amp;": "&amp;Anmeldung!$D$24&amp;", "&amp;Anmeldung!$E$24&amp;" / "&amp;Anmeldung!$G$24&amp;" / "&amp;Anmeldung!$J$24,"")</f>
        <v/>
      </c>
      <c r="AT11" t="str">
        <f>IF(AND(16&lt;&gt;15,Anmeldung!$D$24&lt;&gt;"",Anmeldung!$U$24="Ja",Anmeldung!$G$24=Anmeldung!$G$23,Anmeldung!$J$24=Anmeldung!$J$23),Anmeldung!$B$24&amp;": "&amp;Anmeldung!$D$24&amp;", "&amp;Anmeldung!$E$24&amp;" / "&amp;Anmeldung!$G$24&amp;" / "&amp;Anmeldung!$J$24,"")</f>
        <v/>
      </c>
      <c r="AW11" t="str">
        <f>IF(AND(17&lt;&gt;17,Anmeldung!$D$24&lt;&gt;"",Anmeldung!$G$24=Anmeldung!$G$24,Anmeldung!$J$24=Anmeldung!$J$24),Anmeldung!$B$24&amp;": "&amp;Anmeldung!$D$24&amp;", "&amp;Anmeldung!$E$24&amp;" / "&amp;Anmeldung!$G$24&amp;" / "&amp;Anmeldung!$J$24,"")</f>
        <v/>
      </c>
      <c r="AX11" t="str">
        <f>IF(AND(17&lt;&gt;17,Anmeldung!$D$24&lt;&gt;"",Anmeldung!$G$24=Anmeldung!$G$24,Anmeldung!$J$24=Anmeldung!$J$24,(Anmeldung!$B$24&amp;": "&amp;Anmeldung!$D$24&amp;", "&amp;Anmeldung!$E$24&amp;" / "&amp;Anmeldung!$G$24&amp;" / "&amp;Anmeldung!$J$24)&lt;&gt;Anmeldung!$P$24),Anmeldung!$B$24&amp;": "&amp;Anmeldung!$D$24&amp;", "&amp;Anmeldung!$E$24&amp;" / "&amp;Anmeldung!$G$24&amp;" / "&amp;Anmeldung!$J$24,"")</f>
        <v/>
      </c>
      <c r="AY11" t="str">
        <f>IF(AND(17&lt;&gt;17,Anmeldung!$D$24&lt;&gt;"",Anmeldung!$G$24=Anmeldung!$G$24,Anmeldung!$J$24=Anmeldung!$J$24,(Anmeldung!$B$24&amp;": "&amp;Anmeldung!$D$24&amp;", "&amp;Anmeldung!$E$24&amp;" / "&amp;Anmeldung!$G$24&amp;" / "&amp;Anmeldung!$J$24)&lt;&gt;Anmeldung!$O$24),Anmeldung!$B$24&amp;": "&amp;Anmeldung!$D$24&amp;", "&amp;Anmeldung!$E$24&amp;" / "&amp;Anmeldung!$G$24&amp;" / "&amp;Anmeldung!$J$24,"")</f>
        <v/>
      </c>
      <c r="AZ11" t="str">
        <f>IF(AND(17&lt;&gt;17,Anmeldung!$D$24&lt;&gt;"",Anmeldung!$G$24&lt;&gt;Anmeldung!$G$24,(Anmeldung!$B$24&amp;": "&amp;Anmeldung!$D$24&amp;", "&amp;Anmeldung!$E$24&amp;" / "&amp;Anmeldung!$G$24&amp;" / "&amp;Anmeldung!$J$24)&lt;&gt;Anmeldung!$S$24),Anmeldung!$B$24&amp;": "&amp;Anmeldung!$D$24&amp;", "&amp;Anmeldung!$E$24&amp;" / "&amp;Anmeldung!$G$24&amp;" / "&amp;Anmeldung!$J$24,"")</f>
        <v/>
      </c>
      <c r="BA11" t="str">
        <f>IF(AND(17&lt;&gt;17,Anmeldung!$D$24&lt;&gt;"",(Anmeldung!$B$24&amp;": "&amp;Anmeldung!$D$24&amp;", "&amp;Anmeldung!$E$24&amp;" / "&amp;Anmeldung!$G$24&amp;" / "&amp;Anmeldung!$J$24)&lt;&gt;Anmeldung!$R$24),Anmeldung!$B$24&amp;": "&amp;Anmeldung!$D$24&amp;", "&amp;Anmeldung!$E$24&amp;" / "&amp;Anmeldung!$G$24&amp;" / "&amp;Anmeldung!$J$24,"")</f>
        <v/>
      </c>
      <c r="BB11" t="str">
        <f>IF(AND(16&lt;&gt;16,Anmeldung!$D$24&lt;&gt;"",Anmeldung!$U$24="Ja",Anmeldung!$G$24=Anmeldung!$G$24,Anmeldung!$J$24=Anmeldung!$J$24),Anmeldung!$B$24&amp;": "&amp;Anmeldung!$D$24&amp;", "&amp;Anmeldung!$E$24&amp;" / "&amp;Anmeldung!$G$24&amp;" / "&amp;Anmeldung!$J$24,"")</f>
        <v/>
      </c>
      <c r="BE11" t="str">
        <f>IF(AND(17&lt;&gt;18,Anmeldung!$D$24&lt;&gt;"",Anmeldung!$G$24=Anmeldung!$G$25,Anmeldung!$J$24=Anmeldung!$J$25),Anmeldung!$B$24&amp;": "&amp;Anmeldung!$D$24&amp;", "&amp;Anmeldung!$E$24&amp;" / "&amp;Anmeldung!$G$24&amp;" / "&amp;Anmeldung!$J$24,"")</f>
        <v/>
      </c>
      <c r="BF11" t="str">
        <f>IF(AND(17&lt;&gt;18,Anmeldung!$D$24&lt;&gt;"",Anmeldung!$G$24=Anmeldung!$G$25,Anmeldung!$J$24=Anmeldung!$J$25,(Anmeldung!$B$24&amp;": "&amp;Anmeldung!$D$24&amp;", "&amp;Anmeldung!$E$24&amp;" / "&amp;Anmeldung!$G$24&amp;" / "&amp;Anmeldung!$J$24)&lt;&gt;Anmeldung!$P$25),Anmeldung!$B$24&amp;": "&amp;Anmeldung!$D$24&amp;", "&amp;Anmeldung!$E$24&amp;" / "&amp;Anmeldung!$G$24&amp;" / "&amp;Anmeldung!$J$24,"")</f>
        <v/>
      </c>
      <c r="BG11" t="str">
        <f>IF(AND(17&lt;&gt;18,Anmeldung!$D$24&lt;&gt;"",Anmeldung!$G$24=Anmeldung!$G$25,Anmeldung!$J$24=Anmeldung!$J$25,(Anmeldung!$B$24&amp;": "&amp;Anmeldung!$D$24&amp;", "&amp;Anmeldung!$E$24&amp;" / "&amp;Anmeldung!$G$24&amp;" / "&amp;Anmeldung!$J$24)&lt;&gt;Anmeldung!$O$25),Anmeldung!$B$24&amp;": "&amp;Anmeldung!$D$24&amp;", "&amp;Anmeldung!$E$24&amp;" / "&amp;Anmeldung!$G$24&amp;" / "&amp;Anmeldung!$J$24,"")</f>
        <v/>
      </c>
      <c r="BH11" t="str">
        <f>IF(AND(17&lt;&gt;18,Anmeldung!$D$24&lt;&gt;"",Anmeldung!$G$24&lt;&gt;Anmeldung!$G$25,(Anmeldung!$B$24&amp;": "&amp;Anmeldung!$D$24&amp;", "&amp;Anmeldung!$E$24&amp;" / "&amp;Anmeldung!$G$24&amp;" / "&amp;Anmeldung!$J$24)&lt;&gt;Anmeldung!$S$25),Anmeldung!$B$24&amp;": "&amp;Anmeldung!$D$24&amp;", "&amp;Anmeldung!$E$24&amp;" / "&amp;Anmeldung!$G$24&amp;" / "&amp;Anmeldung!$J$24,"")</f>
        <v/>
      </c>
      <c r="BI11" t="str">
        <f>IF(AND(17&lt;&gt;18,Anmeldung!$D$24&lt;&gt;"",(Anmeldung!$B$24&amp;": "&amp;Anmeldung!$D$24&amp;", "&amp;Anmeldung!$E$24&amp;" / "&amp;Anmeldung!$G$24&amp;" / "&amp;Anmeldung!$J$24)&lt;&gt;Anmeldung!$R$25),Anmeldung!$B$24&amp;": "&amp;Anmeldung!$D$24&amp;", "&amp;Anmeldung!$E$24&amp;" / "&amp;Anmeldung!$G$24&amp;" / "&amp;Anmeldung!$J$24,"")</f>
        <v/>
      </c>
      <c r="BJ11" t="str">
        <f>IF(AND(16&lt;&gt;17,Anmeldung!$D$24&lt;&gt;"",Anmeldung!$U$24="Ja",Anmeldung!$G$24=Anmeldung!$G$25,Anmeldung!$J$24=Anmeldung!$J$25),Anmeldung!$B$24&amp;": "&amp;Anmeldung!$D$24&amp;", "&amp;Anmeldung!$E$24&amp;" / "&amp;Anmeldung!$G$24&amp;" / "&amp;Anmeldung!$J$24,"")</f>
        <v/>
      </c>
      <c r="BM11" t="str">
        <f>IF(AND(17&lt;&gt;19,Anmeldung!$D$24&lt;&gt;"",Anmeldung!$G$24=Anmeldung!$G$26,Anmeldung!$J$24=Anmeldung!$J$26),Anmeldung!$B$24&amp;": "&amp;Anmeldung!$D$24&amp;", "&amp;Anmeldung!$E$24&amp;" / "&amp;Anmeldung!$G$24&amp;" / "&amp;Anmeldung!$J$24,"")</f>
        <v/>
      </c>
      <c r="BN11" t="str">
        <f>IF(AND(17&lt;&gt;19,Anmeldung!$D$24&lt;&gt;"",Anmeldung!$G$24=Anmeldung!$G$26,Anmeldung!$J$24=Anmeldung!$J$26,(Anmeldung!$B$24&amp;": "&amp;Anmeldung!$D$24&amp;", "&amp;Anmeldung!$E$24&amp;" / "&amp;Anmeldung!$G$24&amp;" / "&amp;Anmeldung!$J$24)&lt;&gt;Anmeldung!$P$26),Anmeldung!$B$24&amp;": "&amp;Anmeldung!$D$24&amp;", "&amp;Anmeldung!$E$24&amp;" / "&amp;Anmeldung!$G$24&amp;" / "&amp;Anmeldung!$J$24,"")</f>
        <v/>
      </c>
      <c r="BO11" t="str">
        <f>IF(AND(17&lt;&gt;19,Anmeldung!$D$24&lt;&gt;"",Anmeldung!$G$24=Anmeldung!$G$26,Anmeldung!$J$24=Anmeldung!$J$26,(Anmeldung!$B$24&amp;": "&amp;Anmeldung!$D$24&amp;", "&amp;Anmeldung!$E$24&amp;" / "&amp;Anmeldung!$G$24&amp;" / "&amp;Anmeldung!$J$24)&lt;&gt;Anmeldung!$O$26),Anmeldung!$B$24&amp;": "&amp;Anmeldung!$D$24&amp;", "&amp;Anmeldung!$E$24&amp;" / "&amp;Anmeldung!$G$24&amp;" / "&amp;Anmeldung!$J$24,"")</f>
        <v/>
      </c>
      <c r="BP11" t="str">
        <f>IF(AND(17&lt;&gt;19,Anmeldung!$D$24&lt;&gt;"",Anmeldung!$G$24&lt;&gt;Anmeldung!$G$26,(Anmeldung!$B$24&amp;": "&amp;Anmeldung!$D$24&amp;", "&amp;Anmeldung!$E$24&amp;" / "&amp;Anmeldung!$G$24&amp;" / "&amp;Anmeldung!$J$24)&lt;&gt;Anmeldung!$S$26),Anmeldung!$B$24&amp;": "&amp;Anmeldung!$D$24&amp;", "&amp;Anmeldung!$E$24&amp;" / "&amp;Anmeldung!$G$24&amp;" / "&amp;Anmeldung!$J$24,"")</f>
        <v/>
      </c>
      <c r="BQ11" t="str">
        <f>IF(AND(17&lt;&gt;19,Anmeldung!$D$24&lt;&gt;"",(Anmeldung!$B$24&amp;": "&amp;Anmeldung!$D$24&amp;", "&amp;Anmeldung!$E$24&amp;" / "&amp;Anmeldung!$G$24&amp;" / "&amp;Anmeldung!$J$24)&lt;&gt;Anmeldung!$R$26),Anmeldung!$B$24&amp;": "&amp;Anmeldung!$D$24&amp;", "&amp;Anmeldung!$E$24&amp;" / "&amp;Anmeldung!$G$24&amp;" / "&amp;Anmeldung!$J$24,"")</f>
        <v/>
      </c>
      <c r="BR11" t="str">
        <f>IF(AND(16&lt;&gt;18,Anmeldung!$D$24&lt;&gt;"",Anmeldung!$U$24="Ja",Anmeldung!$G$24=Anmeldung!$G$26,Anmeldung!$J$24=Anmeldung!$J$26),Anmeldung!$B$24&amp;": "&amp;Anmeldung!$D$24&amp;", "&amp;Anmeldung!$E$24&amp;" / "&amp;Anmeldung!$G$24&amp;" / "&amp;Anmeldung!$J$24,"")</f>
        <v/>
      </c>
      <c r="BU11" t="str">
        <f>IF(AND(17&lt;&gt;20,Anmeldung!$D$24&lt;&gt;"",Anmeldung!$G$24=Anmeldung!$G$27,Anmeldung!$J$24=Anmeldung!$J$27),Anmeldung!$B$24&amp;": "&amp;Anmeldung!$D$24&amp;", "&amp;Anmeldung!$E$24&amp;" / "&amp;Anmeldung!$G$24&amp;" / "&amp;Anmeldung!$J$24,"")</f>
        <v/>
      </c>
      <c r="BV11" t="str">
        <f>IF(AND(17&lt;&gt;20,Anmeldung!$D$24&lt;&gt;"",Anmeldung!$G$24=Anmeldung!$G$27,Anmeldung!$J$24=Anmeldung!$J$27,(Anmeldung!$B$24&amp;": "&amp;Anmeldung!$D$24&amp;", "&amp;Anmeldung!$E$24&amp;" / "&amp;Anmeldung!$G$24&amp;" / "&amp;Anmeldung!$J$24)&lt;&gt;Anmeldung!$P$27),Anmeldung!$B$24&amp;": "&amp;Anmeldung!$D$24&amp;", "&amp;Anmeldung!$E$24&amp;" / "&amp;Anmeldung!$G$24&amp;" / "&amp;Anmeldung!$J$24,"")</f>
        <v/>
      </c>
      <c r="BW11" t="str">
        <f>IF(AND(17&lt;&gt;20,Anmeldung!$D$24&lt;&gt;"",Anmeldung!$G$24=Anmeldung!$G$27,Anmeldung!$J$24=Anmeldung!$J$27,(Anmeldung!$B$24&amp;": "&amp;Anmeldung!$D$24&amp;", "&amp;Anmeldung!$E$24&amp;" / "&amp;Anmeldung!$G$24&amp;" / "&amp;Anmeldung!$J$24)&lt;&gt;Anmeldung!$O$27),Anmeldung!$B$24&amp;": "&amp;Anmeldung!$D$24&amp;", "&amp;Anmeldung!$E$24&amp;" / "&amp;Anmeldung!$G$24&amp;" / "&amp;Anmeldung!$J$24,"")</f>
        <v/>
      </c>
      <c r="BX11" t="str">
        <f>IF(AND(17&lt;&gt;20,Anmeldung!$D$24&lt;&gt;"",Anmeldung!$G$24&lt;&gt;Anmeldung!$G$27,(Anmeldung!$B$24&amp;": "&amp;Anmeldung!$D$24&amp;", "&amp;Anmeldung!$E$24&amp;" / "&amp;Anmeldung!$G$24&amp;" / "&amp;Anmeldung!$J$24)&lt;&gt;Anmeldung!$S$27),Anmeldung!$B$24&amp;": "&amp;Anmeldung!$D$24&amp;", "&amp;Anmeldung!$E$24&amp;" / "&amp;Anmeldung!$G$24&amp;" / "&amp;Anmeldung!$J$24,"")</f>
        <v/>
      </c>
      <c r="BY11" t="str">
        <f>IF(AND(17&lt;&gt;20,Anmeldung!$D$24&lt;&gt;"",(Anmeldung!$B$24&amp;": "&amp;Anmeldung!$D$24&amp;", "&amp;Anmeldung!$E$24&amp;" / "&amp;Anmeldung!$G$24&amp;" / "&amp;Anmeldung!$J$24)&lt;&gt;Anmeldung!$R$27),Anmeldung!$B$24&amp;": "&amp;Anmeldung!$D$24&amp;", "&amp;Anmeldung!$E$24&amp;" / "&amp;Anmeldung!$G$24&amp;" / "&amp;Anmeldung!$J$24,"")</f>
        <v/>
      </c>
      <c r="BZ11" t="str">
        <f>IF(AND(16&lt;&gt;19,Anmeldung!$D$24&lt;&gt;"",Anmeldung!$U$24="Ja",Anmeldung!$G$24=Anmeldung!$G$27,Anmeldung!$J$24=Anmeldung!$J$27),Anmeldung!$B$24&amp;": "&amp;Anmeldung!$D$24&amp;", "&amp;Anmeldung!$E$24&amp;" / "&amp;Anmeldung!$G$24&amp;" / "&amp;Anmeldung!$J$24,"")</f>
        <v/>
      </c>
      <c r="CC11" t="str">
        <f>IF(AND(17&lt;&gt;21,Anmeldung!$D$24&lt;&gt;"",Anmeldung!$G$24=Anmeldung!$G$28,Anmeldung!$J$24=Anmeldung!$J$28),Anmeldung!$B$24&amp;": "&amp;Anmeldung!$D$24&amp;", "&amp;Anmeldung!$E$24&amp;" / "&amp;Anmeldung!$G$24&amp;" / "&amp;Anmeldung!$J$24,"")</f>
        <v/>
      </c>
      <c r="CD11" t="str">
        <f>IF(AND(17&lt;&gt;21,Anmeldung!$D$24&lt;&gt;"",Anmeldung!$G$24=Anmeldung!$G$28,Anmeldung!$J$24=Anmeldung!$J$28,(Anmeldung!$B$24&amp;": "&amp;Anmeldung!$D$24&amp;", "&amp;Anmeldung!$E$24&amp;" / "&amp;Anmeldung!$G$24&amp;" / "&amp;Anmeldung!$J$24)&lt;&gt;Anmeldung!$P$28),Anmeldung!$B$24&amp;": "&amp;Anmeldung!$D$24&amp;", "&amp;Anmeldung!$E$24&amp;" / "&amp;Anmeldung!$G$24&amp;" / "&amp;Anmeldung!$J$24,"")</f>
        <v/>
      </c>
      <c r="CE11" t="str">
        <f>IF(AND(17&lt;&gt;21,Anmeldung!$D$24&lt;&gt;"",Anmeldung!$G$24=Anmeldung!$G$28,Anmeldung!$J$24=Anmeldung!$J$28,(Anmeldung!$B$24&amp;": "&amp;Anmeldung!$D$24&amp;", "&amp;Anmeldung!$E$24&amp;" / "&amp;Anmeldung!$G$24&amp;" / "&amp;Anmeldung!$J$24)&lt;&gt;Anmeldung!$O$28),Anmeldung!$B$24&amp;": "&amp;Anmeldung!$D$24&amp;", "&amp;Anmeldung!$E$24&amp;" / "&amp;Anmeldung!$G$24&amp;" / "&amp;Anmeldung!$J$24,"")</f>
        <v/>
      </c>
      <c r="CF11" t="str">
        <f>IF(AND(17&lt;&gt;21,Anmeldung!$D$24&lt;&gt;"",Anmeldung!$G$24&lt;&gt;Anmeldung!$G$28,(Anmeldung!$B$24&amp;": "&amp;Anmeldung!$D$24&amp;", "&amp;Anmeldung!$E$24&amp;" / "&amp;Anmeldung!$G$24&amp;" / "&amp;Anmeldung!$J$24)&lt;&gt;Anmeldung!$S$28),Anmeldung!$B$24&amp;": "&amp;Anmeldung!$D$24&amp;", "&amp;Anmeldung!$E$24&amp;" / "&amp;Anmeldung!$G$24&amp;" / "&amp;Anmeldung!$J$24,"")</f>
        <v/>
      </c>
      <c r="CG11" t="str">
        <f>IF(AND(17&lt;&gt;21,Anmeldung!$D$24&lt;&gt;"",(Anmeldung!$B$24&amp;": "&amp;Anmeldung!$D$24&amp;", "&amp;Anmeldung!$E$24&amp;" / "&amp;Anmeldung!$G$24&amp;" / "&amp;Anmeldung!$J$24)&lt;&gt;Anmeldung!$R$28),Anmeldung!$B$24&amp;": "&amp;Anmeldung!$D$24&amp;", "&amp;Anmeldung!$E$24&amp;" / "&amp;Anmeldung!$G$24&amp;" / "&amp;Anmeldung!$J$24,"")</f>
        <v/>
      </c>
      <c r="CH11" t="str">
        <f>IF(AND(16&lt;&gt;20,Anmeldung!$D$24&lt;&gt;"",Anmeldung!$U$24="Ja",Anmeldung!$G$24=Anmeldung!$G$28,Anmeldung!$J$24=Anmeldung!$J$28),Anmeldung!$B$24&amp;": "&amp;Anmeldung!$D$24&amp;", "&amp;Anmeldung!$E$24&amp;" / "&amp;Anmeldung!$G$24&amp;" / "&amp;Anmeldung!$J$24,"")</f>
        <v/>
      </c>
      <c r="CK11" t="str">
        <f>IF(AND(17&lt;&gt;22,Anmeldung!$D$24&lt;&gt;"",Anmeldung!$G$24=Anmeldung!$G$29,Anmeldung!$J$24=Anmeldung!$J$29),Anmeldung!$B$24&amp;": "&amp;Anmeldung!$D$24&amp;", "&amp;Anmeldung!$E$24&amp;" / "&amp;Anmeldung!$G$24&amp;" / "&amp;Anmeldung!$J$24,"")</f>
        <v/>
      </c>
      <c r="CL11" t="str">
        <f>IF(AND(17&lt;&gt;22,Anmeldung!$D$24&lt;&gt;"",Anmeldung!$G$24=Anmeldung!$G$29,Anmeldung!$J$24=Anmeldung!$J$29,(Anmeldung!$B$24&amp;": "&amp;Anmeldung!$D$24&amp;", "&amp;Anmeldung!$E$24&amp;" / "&amp;Anmeldung!$G$24&amp;" / "&amp;Anmeldung!$J$24)&lt;&gt;Anmeldung!$P$29),Anmeldung!$B$24&amp;": "&amp;Anmeldung!$D$24&amp;", "&amp;Anmeldung!$E$24&amp;" / "&amp;Anmeldung!$G$24&amp;" / "&amp;Anmeldung!$J$24,"")</f>
        <v/>
      </c>
      <c r="CM11" t="str">
        <f>IF(AND(17&lt;&gt;22,Anmeldung!$D$24&lt;&gt;"",Anmeldung!$G$24=Anmeldung!$G$29,Anmeldung!$J$24=Anmeldung!$J$29,(Anmeldung!$B$24&amp;": "&amp;Anmeldung!$D$24&amp;", "&amp;Anmeldung!$E$24&amp;" / "&amp;Anmeldung!$G$24&amp;" / "&amp;Anmeldung!$J$24)&lt;&gt;Anmeldung!$O$29),Anmeldung!$B$24&amp;": "&amp;Anmeldung!$D$24&amp;", "&amp;Anmeldung!$E$24&amp;" / "&amp;Anmeldung!$G$24&amp;" / "&amp;Anmeldung!$J$24,"")</f>
        <v/>
      </c>
      <c r="CN11" t="str">
        <f>IF(AND(17&lt;&gt;22,Anmeldung!$D$24&lt;&gt;"",Anmeldung!$G$24&lt;&gt;Anmeldung!$G$29,(Anmeldung!$B$24&amp;": "&amp;Anmeldung!$D$24&amp;", "&amp;Anmeldung!$E$24&amp;" / "&amp;Anmeldung!$G$24&amp;" / "&amp;Anmeldung!$J$24)&lt;&gt;Anmeldung!$S$29),Anmeldung!$B$24&amp;": "&amp;Anmeldung!$D$24&amp;", "&amp;Anmeldung!$E$24&amp;" / "&amp;Anmeldung!$G$24&amp;" / "&amp;Anmeldung!$J$24,"")</f>
        <v/>
      </c>
      <c r="CO11" t="str">
        <f>IF(AND(17&lt;&gt;22,Anmeldung!$D$24&lt;&gt;"",(Anmeldung!$B$24&amp;": "&amp;Anmeldung!$D$24&amp;", "&amp;Anmeldung!$E$24&amp;" / "&amp;Anmeldung!$G$24&amp;" / "&amp;Anmeldung!$J$24)&lt;&gt;Anmeldung!$R$29),Anmeldung!$B$24&amp;": "&amp;Anmeldung!$D$24&amp;", "&amp;Anmeldung!$E$24&amp;" / "&amp;Anmeldung!$G$24&amp;" / "&amp;Anmeldung!$J$24,"")</f>
        <v/>
      </c>
      <c r="CP11" t="str">
        <f>IF(AND(16&lt;&gt;21,Anmeldung!$D$24&lt;&gt;"",Anmeldung!$U$24="Ja",Anmeldung!$G$24=Anmeldung!$G$29,Anmeldung!$J$24=Anmeldung!$J$29),Anmeldung!$B$24&amp;": "&amp;Anmeldung!$D$24&amp;", "&amp;Anmeldung!$E$24&amp;" / "&amp;Anmeldung!$G$24&amp;" / "&amp;Anmeldung!$J$24,"")</f>
        <v/>
      </c>
      <c r="CS11" t="str">
        <f>IF(AND(17&lt;&gt;23,Anmeldung!$D$24&lt;&gt;"",Anmeldung!$G$24=Anmeldung!$G$30,Anmeldung!$J$24=Anmeldung!$J$30),Anmeldung!$B$24&amp;": "&amp;Anmeldung!$D$24&amp;", "&amp;Anmeldung!$E$24&amp;" / "&amp;Anmeldung!$G$24&amp;" / "&amp;Anmeldung!$J$24,"")</f>
        <v/>
      </c>
      <c r="CT11" t="str">
        <f>IF(AND(17&lt;&gt;23,Anmeldung!$D$24&lt;&gt;"",Anmeldung!$G$24=Anmeldung!$G$30,Anmeldung!$J$24=Anmeldung!$J$30,(Anmeldung!$B$24&amp;": "&amp;Anmeldung!$D$24&amp;", "&amp;Anmeldung!$E$24&amp;" / "&amp;Anmeldung!$G$24&amp;" / "&amp;Anmeldung!$J$24)&lt;&gt;Anmeldung!$P$30),Anmeldung!$B$24&amp;": "&amp;Anmeldung!$D$24&amp;", "&amp;Anmeldung!$E$24&amp;" / "&amp;Anmeldung!$G$24&amp;" / "&amp;Anmeldung!$J$24,"")</f>
        <v/>
      </c>
      <c r="CU11" t="str">
        <f>IF(AND(17&lt;&gt;23,Anmeldung!$D$24&lt;&gt;"",Anmeldung!$G$24=Anmeldung!$G$30,Anmeldung!$J$24=Anmeldung!$J$30,(Anmeldung!$B$24&amp;": "&amp;Anmeldung!$D$24&amp;", "&amp;Anmeldung!$E$24&amp;" / "&amp;Anmeldung!$G$24&amp;" / "&amp;Anmeldung!$J$24)&lt;&gt;Anmeldung!$O$30),Anmeldung!$B$24&amp;": "&amp;Anmeldung!$D$24&amp;", "&amp;Anmeldung!$E$24&amp;" / "&amp;Anmeldung!$G$24&amp;" / "&amp;Anmeldung!$J$24,"")</f>
        <v/>
      </c>
      <c r="CV11" t="str">
        <f>IF(AND(17&lt;&gt;23,Anmeldung!$D$24&lt;&gt;"",Anmeldung!$G$24&lt;&gt;Anmeldung!$G$30,(Anmeldung!$B$24&amp;": "&amp;Anmeldung!$D$24&amp;", "&amp;Anmeldung!$E$24&amp;" / "&amp;Anmeldung!$G$24&amp;" / "&amp;Anmeldung!$J$24)&lt;&gt;Anmeldung!$S$30),Anmeldung!$B$24&amp;": "&amp;Anmeldung!$D$24&amp;", "&amp;Anmeldung!$E$24&amp;" / "&amp;Anmeldung!$G$24&amp;" / "&amp;Anmeldung!$J$24,"")</f>
        <v/>
      </c>
      <c r="CW11" t="str">
        <f>IF(AND(17&lt;&gt;23,Anmeldung!$D$24&lt;&gt;"",(Anmeldung!$B$24&amp;": "&amp;Anmeldung!$D$24&amp;", "&amp;Anmeldung!$E$24&amp;" / "&amp;Anmeldung!$G$24&amp;" / "&amp;Anmeldung!$J$24)&lt;&gt;Anmeldung!$R$30),Anmeldung!$B$24&amp;": "&amp;Anmeldung!$D$24&amp;", "&amp;Anmeldung!$E$24&amp;" / "&amp;Anmeldung!$G$24&amp;" / "&amp;Anmeldung!$J$24,"")</f>
        <v/>
      </c>
      <c r="CX11" t="str">
        <f>IF(AND(16&lt;&gt;22,Anmeldung!$D$24&lt;&gt;"",Anmeldung!$U$24="Ja",Anmeldung!$G$24=Anmeldung!$G$30,Anmeldung!$J$24=Anmeldung!$J$30),Anmeldung!$B$24&amp;": "&amp;Anmeldung!$D$24&amp;", "&amp;Anmeldung!$E$24&amp;" / "&amp;Anmeldung!$G$24&amp;" / "&amp;Anmeldung!$J$24,"")</f>
        <v/>
      </c>
      <c r="DA11" t="str">
        <f>IF(AND(17&lt;&gt;24,Anmeldung!$D$24&lt;&gt;"",Anmeldung!$G$24=Anmeldung!$G$31,Anmeldung!$J$24=Anmeldung!$J$31),Anmeldung!$B$24&amp;": "&amp;Anmeldung!$D$24&amp;", "&amp;Anmeldung!$E$24&amp;" / "&amp;Anmeldung!$G$24&amp;" / "&amp;Anmeldung!$J$24,"")</f>
        <v/>
      </c>
      <c r="DB11" t="str">
        <f>IF(AND(17&lt;&gt;24,Anmeldung!$D$24&lt;&gt;"",Anmeldung!$G$24=Anmeldung!$G$31,Anmeldung!$J$24=Anmeldung!$J$31,(Anmeldung!$B$24&amp;": "&amp;Anmeldung!$D$24&amp;", "&amp;Anmeldung!$E$24&amp;" / "&amp;Anmeldung!$G$24&amp;" / "&amp;Anmeldung!$J$24)&lt;&gt;Anmeldung!$P$31),Anmeldung!$B$24&amp;": "&amp;Anmeldung!$D$24&amp;", "&amp;Anmeldung!$E$24&amp;" / "&amp;Anmeldung!$G$24&amp;" / "&amp;Anmeldung!$J$24,"")</f>
        <v/>
      </c>
      <c r="DC11" t="str">
        <f>IF(AND(17&lt;&gt;24,Anmeldung!$D$24&lt;&gt;"",Anmeldung!$G$24=Anmeldung!$G$31,Anmeldung!$J$24=Anmeldung!$J$31,(Anmeldung!$B$24&amp;": "&amp;Anmeldung!$D$24&amp;", "&amp;Anmeldung!$E$24&amp;" / "&amp;Anmeldung!$G$24&amp;" / "&amp;Anmeldung!$J$24)&lt;&gt;Anmeldung!$O$31),Anmeldung!$B$24&amp;": "&amp;Anmeldung!$D$24&amp;", "&amp;Anmeldung!$E$24&amp;" / "&amp;Anmeldung!$G$24&amp;" / "&amp;Anmeldung!$J$24,"")</f>
        <v/>
      </c>
      <c r="DD11" t="str">
        <f>IF(AND(17&lt;&gt;24,Anmeldung!$D$24&lt;&gt;"",Anmeldung!$G$24&lt;&gt;Anmeldung!$G$31,(Anmeldung!$B$24&amp;": "&amp;Anmeldung!$D$24&amp;", "&amp;Anmeldung!$E$24&amp;" / "&amp;Anmeldung!$G$24&amp;" / "&amp;Anmeldung!$J$24)&lt;&gt;Anmeldung!$S$31),Anmeldung!$B$24&amp;": "&amp;Anmeldung!$D$24&amp;", "&amp;Anmeldung!$E$24&amp;" / "&amp;Anmeldung!$G$24&amp;" / "&amp;Anmeldung!$J$24,"")</f>
        <v/>
      </c>
      <c r="DE11" t="str">
        <f>IF(AND(17&lt;&gt;24,Anmeldung!$D$24&lt;&gt;"",(Anmeldung!$B$24&amp;": "&amp;Anmeldung!$D$24&amp;", "&amp;Anmeldung!$E$24&amp;" / "&amp;Anmeldung!$G$24&amp;" / "&amp;Anmeldung!$J$24)&lt;&gt;Anmeldung!$R$31),Anmeldung!$B$24&amp;": "&amp;Anmeldung!$D$24&amp;", "&amp;Anmeldung!$E$24&amp;" / "&amp;Anmeldung!$G$24&amp;" / "&amp;Anmeldung!$J$24,"")</f>
        <v/>
      </c>
      <c r="DF11" t="str">
        <f>IF(AND(16&lt;&gt;23,Anmeldung!$D$24&lt;&gt;"",Anmeldung!$U$24="Ja",Anmeldung!$G$24=Anmeldung!$G$31,Anmeldung!$J$24=Anmeldung!$J$31),Anmeldung!$B$24&amp;": "&amp;Anmeldung!$D$24&amp;", "&amp;Anmeldung!$E$24&amp;" / "&amp;Anmeldung!$G$24&amp;" / "&amp;Anmeldung!$J$24,"")</f>
        <v/>
      </c>
      <c r="DI11" t="str">
        <f>IF(AND(17&lt;&gt;25,Anmeldung!$D$24&lt;&gt;"",Anmeldung!$G$24=Anmeldung!$G$32,Anmeldung!$J$24=Anmeldung!$J$32),Anmeldung!$B$24&amp;": "&amp;Anmeldung!$D$24&amp;", "&amp;Anmeldung!$E$24&amp;" / "&amp;Anmeldung!$G$24&amp;" / "&amp;Anmeldung!$J$24,"")</f>
        <v/>
      </c>
      <c r="DJ11" t="str">
        <f>IF(AND(17&lt;&gt;25,Anmeldung!$D$24&lt;&gt;"",Anmeldung!$G$24=Anmeldung!$G$32,Anmeldung!$J$24=Anmeldung!$J$32,(Anmeldung!$B$24&amp;": "&amp;Anmeldung!$D$24&amp;", "&amp;Anmeldung!$E$24&amp;" / "&amp;Anmeldung!$G$24&amp;" / "&amp;Anmeldung!$J$24)&lt;&gt;Anmeldung!$P$32),Anmeldung!$B$24&amp;": "&amp;Anmeldung!$D$24&amp;", "&amp;Anmeldung!$E$24&amp;" / "&amp;Anmeldung!$G$24&amp;" / "&amp;Anmeldung!$J$24,"")</f>
        <v/>
      </c>
      <c r="DK11" t="str">
        <f>IF(AND(17&lt;&gt;25,Anmeldung!$D$24&lt;&gt;"",Anmeldung!$G$24=Anmeldung!$G$32,Anmeldung!$J$24=Anmeldung!$J$32,(Anmeldung!$B$24&amp;": "&amp;Anmeldung!$D$24&amp;", "&amp;Anmeldung!$E$24&amp;" / "&amp;Anmeldung!$G$24&amp;" / "&amp;Anmeldung!$J$24)&lt;&gt;Anmeldung!$O$32),Anmeldung!$B$24&amp;": "&amp;Anmeldung!$D$24&amp;", "&amp;Anmeldung!$E$24&amp;" / "&amp;Anmeldung!$G$24&amp;" / "&amp;Anmeldung!$J$24,"")</f>
        <v/>
      </c>
      <c r="DL11" t="str">
        <f>IF(AND(17&lt;&gt;25,Anmeldung!$D$24&lt;&gt;"",Anmeldung!$G$24&lt;&gt;Anmeldung!$G$32,(Anmeldung!$B$24&amp;": "&amp;Anmeldung!$D$24&amp;", "&amp;Anmeldung!$E$24&amp;" / "&amp;Anmeldung!$G$24&amp;" / "&amp;Anmeldung!$J$24)&lt;&gt;Anmeldung!$S$32),Anmeldung!$B$24&amp;": "&amp;Anmeldung!$D$24&amp;", "&amp;Anmeldung!$E$24&amp;" / "&amp;Anmeldung!$G$24&amp;" / "&amp;Anmeldung!$J$24,"")</f>
        <v/>
      </c>
      <c r="DM11" t="str">
        <f>IF(AND(17&lt;&gt;25,Anmeldung!$D$24&lt;&gt;"",(Anmeldung!$B$24&amp;": "&amp;Anmeldung!$D$24&amp;", "&amp;Anmeldung!$E$24&amp;" / "&amp;Anmeldung!$G$24&amp;" / "&amp;Anmeldung!$J$24)&lt;&gt;Anmeldung!$R$32),Anmeldung!$B$24&amp;": "&amp;Anmeldung!$D$24&amp;", "&amp;Anmeldung!$E$24&amp;" / "&amp;Anmeldung!$G$24&amp;" / "&amp;Anmeldung!$J$24,"")</f>
        <v/>
      </c>
      <c r="DN11" t="str">
        <f>IF(AND(16&lt;&gt;24,Anmeldung!$D$24&lt;&gt;"",Anmeldung!$U$24="Ja",Anmeldung!$G$24=Anmeldung!$G$32,Anmeldung!$J$24=Anmeldung!$J$32),Anmeldung!$B$24&amp;": "&amp;Anmeldung!$D$24&amp;", "&amp;Anmeldung!$E$24&amp;" / "&amp;Anmeldung!$G$24&amp;" / "&amp;Anmeldung!$J$24,"")</f>
        <v/>
      </c>
      <c r="DQ11" t="str">
        <f>IF(AND(17&lt;&gt;26,Anmeldung!$D$24&lt;&gt;"",Anmeldung!$G$24=Anmeldung!$G$33,Anmeldung!$J$24=Anmeldung!$J$33),Anmeldung!$B$24&amp;": "&amp;Anmeldung!$D$24&amp;", "&amp;Anmeldung!$E$24&amp;" / "&amp;Anmeldung!$G$24&amp;" / "&amp;Anmeldung!$J$24,"")</f>
        <v/>
      </c>
      <c r="DR11" t="str">
        <f>IF(AND(17&lt;&gt;26,Anmeldung!$D$24&lt;&gt;"",Anmeldung!$G$24=Anmeldung!$G$33,Anmeldung!$J$24=Anmeldung!$J$33,(Anmeldung!$B$24&amp;": "&amp;Anmeldung!$D$24&amp;", "&amp;Anmeldung!$E$24&amp;" / "&amp;Anmeldung!$G$24&amp;" / "&amp;Anmeldung!$J$24)&lt;&gt;Anmeldung!$P$33),Anmeldung!$B$24&amp;": "&amp;Anmeldung!$D$24&amp;", "&amp;Anmeldung!$E$24&amp;" / "&amp;Anmeldung!$G$24&amp;" / "&amp;Anmeldung!$J$24,"")</f>
        <v/>
      </c>
      <c r="DS11" t="str">
        <f>IF(AND(17&lt;&gt;26,Anmeldung!$D$24&lt;&gt;"",Anmeldung!$G$24=Anmeldung!$G$33,Anmeldung!$J$24=Anmeldung!$J$33,(Anmeldung!$B$24&amp;": "&amp;Anmeldung!$D$24&amp;", "&amp;Anmeldung!$E$24&amp;" / "&amp;Anmeldung!$G$24&amp;" / "&amp;Anmeldung!$J$24)&lt;&gt;Anmeldung!$O$33),Anmeldung!$B$24&amp;": "&amp;Anmeldung!$D$24&amp;", "&amp;Anmeldung!$E$24&amp;" / "&amp;Anmeldung!$G$24&amp;" / "&amp;Anmeldung!$J$24,"")</f>
        <v/>
      </c>
      <c r="DT11" t="str">
        <f>IF(AND(17&lt;&gt;26,Anmeldung!$D$24&lt;&gt;"",Anmeldung!$G$24&lt;&gt;Anmeldung!$G$33,(Anmeldung!$B$24&amp;": "&amp;Anmeldung!$D$24&amp;", "&amp;Anmeldung!$E$24&amp;" / "&amp;Anmeldung!$G$24&amp;" / "&amp;Anmeldung!$J$24)&lt;&gt;Anmeldung!$S$33),Anmeldung!$B$24&amp;": "&amp;Anmeldung!$D$24&amp;", "&amp;Anmeldung!$E$24&amp;" / "&amp;Anmeldung!$G$24&amp;" / "&amp;Anmeldung!$J$24,"")</f>
        <v/>
      </c>
      <c r="DU11" t="str">
        <f>IF(AND(17&lt;&gt;26,Anmeldung!$D$24&lt;&gt;"",(Anmeldung!$B$24&amp;": "&amp;Anmeldung!$D$24&amp;", "&amp;Anmeldung!$E$24&amp;" / "&amp;Anmeldung!$G$24&amp;" / "&amp;Anmeldung!$J$24)&lt;&gt;Anmeldung!$R$33),Anmeldung!$B$24&amp;": "&amp;Anmeldung!$D$24&amp;", "&amp;Anmeldung!$E$24&amp;" / "&amp;Anmeldung!$G$24&amp;" / "&amp;Anmeldung!$J$24,"")</f>
        <v/>
      </c>
      <c r="DV11" t="str">
        <f>IF(AND(16&lt;&gt;25,Anmeldung!$D$24&lt;&gt;"",Anmeldung!$U$24="Ja",Anmeldung!$G$24=Anmeldung!$G$33,Anmeldung!$J$24=Anmeldung!$J$33),Anmeldung!$B$24&amp;": "&amp;Anmeldung!$D$24&amp;", "&amp;Anmeldung!$E$24&amp;" / "&amp;Anmeldung!$G$24&amp;" / "&amp;Anmeldung!$J$24,"")</f>
        <v/>
      </c>
      <c r="DY11" t="str">
        <f>IF(AND(17&lt;&gt;27,Anmeldung!$D$24&lt;&gt;"",Anmeldung!$G$24=Anmeldung!$G$34,Anmeldung!$J$24=Anmeldung!$J$34),Anmeldung!$B$24&amp;": "&amp;Anmeldung!$D$24&amp;", "&amp;Anmeldung!$E$24&amp;" / "&amp;Anmeldung!$G$24&amp;" / "&amp;Anmeldung!$J$24,"")</f>
        <v/>
      </c>
      <c r="DZ11" t="str">
        <f>IF(AND(17&lt;&gt;27,Anmeldung!$D$24&lt;&gt;"",Anmeldung!$G$24=Anmeldung!$G$34,Anmeldung!$J$24=Anmeldung!$J$34,(Anmeldung!$B$24&amp;": "&amp;Anmeldung!$D$24&amp;", "&amp;Anmeldung!$E$24&amp;" / "&amp;Anmeldung!$G$24&amp;" / "&amp;Anmeldung!$J$24)&lt;&gt;Anmeldung!$P$34),Anmeldung!$B$24&amp;": "&amp;Anmeldung!$D$24&amp;", "&amp;Anmeldung!$E$24&amp;" / "&amp;Anmeldung!$G$24&amp;" / "&amp;Anmeldung!$J$24,"")</f>
        <v/>
      </c>
      <c r="EA11" t="str">
        <f>IF(AND(17&lt;&gt;27,Anmeldung!$D$24&lt;&gt;"",Anmeldung!$G$24=Anmeldung!$G$34,Anmeldung!$J$24=Anmeldung!$J$34,(Anmeldung!$B$24&amp;": "&amp;Anmeldung!$D$24&amp;", "&amp;Anmeldung!$E$24&amp;" / "&amp;Anmeldung!$G$24&amp;" / "&amp;Anmeldung!$J$24)&lt;&gt;Anmeldung!$O$34),Anmeldung!$B$24&amp;": "&amp;Anmeldung!$D$24&amp;", "&amp;Anmeldung!$E$24&amp;" / "&amp;Anmeldung!$G$24&amp;" / "&amp;Anmeldung!$J$24,"")</f>
        <v/>
      </c>
      <c r="EB11" t="str">
        <f>IF(AND(17&lt;&gt;27,Anmeldung!$D$24&lt;&gt;"",Anmeldung!$G$24&lt;&gt;Anmeldung!$G$34,(Anmeldung!$B$24&amp;": "&amp;Anmeldung!$D$24&amp;", "&amp;Anmeldung!$E$24&amp;" / "&amp;Anmeldung!$G$24&amp;" / "&amp;Anmeldung!$J$24)&lt;&gt;Anmeldung!$S$34),Anmeldung!$B$24&amp;": "&amp;Anmeldung!$D$24&amp;", "&amp;Anmeldung!$E$24&amp;" / "&amp;Anmeldung!$G$24&amp;" / "&amp;Anmeldung!$J$24,"")</f>
        <v/>
      </c>
      <c r="EC11" t="str">
        <f>IF(AND(17&lt;&gt;27,Anmeldung!$D$24&lt;&gt;"",(Anmeldung!$B$24&amp;": "&amp;Anmeldung!$D$24&amp;", "&amp;Anmeldung!$E$24&amp;" / "&amp;Anmeldung!$G$24&amp;" / "&amp;Anmeldung!$J$24)&lt;&gt;Anmeldung!$R$34),Anmeldung!$B$24&amp;": "&amp;Anmeldung!$D$24&amp;", "&amp;Anmeldung!$E$24&amp;" / "&amp;Anmeldung!$G$24&amp;" / "&amp;Anmeldung!$J$24,"")</f>
        <v/>
      </c>
      <c r="ED11" t="str">
        <f>IF(AND(16&lt;&gt;26,Anmeldung!$D$24&lt;&gt;"",Anmeldung!$U$24="Ja",Anmeldung!$G$24=Anmeldung!$G$34,Anmeldung!$J$24=Anmeldung!$J$34),Anmeldung!$B$24&amp;": "&amp;Anmeldung!$D$24&amp;", "&amp;Anmeldung!$E$24&amp;" / "&amp;Anmeldung!$G$24&amp;" / "&amp;Anmeldung!$J$24,"")</f>
        <v/>
      </c>
      <c r="EG11" t="str">
        <f>IF(AND(17&lt;&gt;28,Anmeldung!$D$24&lt;&gt;"",Anmeldung!$G$24=Anmeldung!$G$35,Anmeldung!$J$24=Anmeldung!$J$35),Anmeldung!$B$24&amp;": "&amp;Anmeldung!$D$24&amp;", "&amp;Anmeldung!$E$24&amp;" / "&amp;Anmeldung!$G$24&amp;" / "&amp;Anmeldung!$J$24,"")</f>
        <v/>
      </c>
      <c r="EH11" t="str">
        <f>IF(AND(17&lt;&gt;28,Anmeldung!$D$24&lt;&gt;"",Anmeldung!$G$24=Anmeldung!$G$35,Anmeldung!$J$24=Anmeldung!$J$35,(Anmeldung!$B$24&amp;": "&amp;Anmeldung!$D$24&amp;", "&amp;Anmeldung!$E$24&amp;" / "&amp;Anmeldung!$G$24&amp;" / "&amp;Anmeldung!$J$24)&lt;&gt;Anmeldung!$P$35),Anmeldung!$B$24&amp;": "&amp;Anmeldung!$D$24&amp;", "&amp;Anmeldung!$E$24&amp;" / "&amp;Anmeldung!$G$24&amp;" / "&amp;Anmeldung!$J$24,"")</f>
        <v/>
      </c>
      <c r="EI11" t="str">
        <f>IF(AND(17&lt;&gt;28,Anmeldung!$D$24&lt;&gt;"",Anmeldung!$G$24=Anmeldung!$G$35,Anmeldung!$J$24=Anmeldung!$J$35,(Anmeldung!$B$24&amp;": "&amp;Anmeldung!$D$24&amp;", "&amp;Anmeldung!$E$24&amp;" / "&amp;Anmeldung!$G$24&amp;" / "&amp;Anmeldung!$J$24)&lt;&gt;Anmeldung!$O$35),Anmeldung!$B$24&amp;": "&amp;Anmeldung!$D$24&amp;", "&amp;Anmeldung!$E$24&amp;" / "&amp;Anmeldung!$G$24&amp;" / "&amp;Anmeldung!$J$24,"")</f>
        <v/>
      </c>
      <c r="EJ11" t="str">
        <f>IF(AND(17&lt;&gt;28,Anmeldung!$D$24&lt;&gt;"",Anmeldung!$G$24&lt;&gt;Anmeldung!$G$35,(Anmeldung!$B$24&amp;": "&amp;Anmeldung!$D$24&amp;", "&amp;Anmeldung!$E$24&amp;" / "&amp;Anmeldung!$G$24&amp;" / "&amp;Anmeldung!$J$24)&lt;&gt;Anmeldung!$S$35),Anmeldung!$B$24&amp;": "&amp;Anmeldung!$D$24&amp;", "&amp;Anmeldung!$E$24&amp;" / "&amp;Anmeldung!$G$24&amp;" / "&amp;Anmeldung!$J$24,"")</f>
        <v/>
      </c>
      <c r="EK11" t="str">
        <f>IF(AND(17&lt;&gt;28,Anmeldung!$D$24&lt;&gt;"",(Anmeldung!$B$24&amp;": "&amp;Anmeldung!$D$24&amp;", "&amp;Anmeldung!$E$24&amp;" / "&amp;Anmeldung!$G$24&amp;" / "&amp;Anmeldung!$J$24)&lt;&gt;Anmeldung!$R$35),Anmeldung!$B$24&amp;": "&amp;Anmeldung!$D$24&amp;", "&amp;Anmeldung!$E$24&amp;" / "&amp;Anmeldung!$G$24&amp;" / "&amp;Anmeldung!$J$24,"")</f>
        <v/>
      </c>
      <c r="EL11" t="str">
        <f>IF(AND(16&lt;&gt;27,Anmeldung!$D$24&lt;&gt;"",Anmeldung!$U$24="Ja",Anmeldung!$G$24=Anmeldung!$G$35,Anmeldung!$J$24=Anmeldung!$J$35),Anmeldung!$B$24&amp;": "&amp;Anmeldung!$D$24&amp;", "&amp;Anmeldung!$E$24&amp;" / "&amp;Anmeldung!$G$24&amp;" / "&amp;Anmeldung!$J$24,"")</f>
        <v/>
      </c>
      <c r="EO11" t="str">
        <f>IF(AND(17&lt;&gt;29,Anmeldung!$D$24&lt;&gt;"",Anmeldung!$G$24=Anmeldung!$G$36,Anmeldung!$J$24=Anmeldung!$J$36),Anmeldung!$B$24&amp;": "&amp;Anmeldung!$D$24&amp;", "&amp;Anmeldung!$E$24&amp;" / "&amp;Anmeldung!$G$24&amp;" / "&amp;Anmeldung!$J$24,"")</f>
        <v/>
      </c>
      <c r="EP11" t="str">
        <f>IF(AND(17&lt;&gt;29,Anmeldung!$D$24&lt;&gt;"",Anmeldung!$G$24=Anmeldung!$G$36,Anmeldung!$J$24=Anmeldung!$J$36,(Anmeldung!$B$24&amp;": "&amp;Anmeldung!$D$24&amp;", "&amp;Anmeldung!$E$24&amp;" / "&amp;Anmeldung!$G$24&amp;" / "&amp;Anmeldung!$J$24)&lt;&gt;Anmeldung!$P$36),Anmeldung!$B$24&amp;": "&amp;Anmeldung!$D$24&amp;", "&amp;Anmeldung!$E$24&amp;" / "&amp;Anmeldung!$G$24&amp;" / "&amp;Anmeldung!$J$24,"")</f>
        <v/>
      </c>
      <c r="EQ11" t="str">
        <f>IF(AND(17&lt;&gt;29,Anmeldung!$D$24&lt;&gt;"",Anmeldung!$G$24=Anmeldung!$G$36,Anmeldung!$J$24=Anmeldung!$J$36,(Anmeldung!$B$24&amp;": "&amp;Anmeldung!$D$24&amp;", "&amp;Anmeldung!$E$24&amp;" / "&amp;Anmeldung!$G$24&amp;" / "&amp;Anmeldung!$J$24)&lt;&gt;Anmeldung!$O$36),Anmeldung!$B$24&amp;": "&amp;Anmeldung!$D$24&amp;", "&amp;Anmeldung!$E$24&amp;" / "&amp;Anmeldung!$G$24&amp;" / "&amp;Anmeldung!$J$24,"")</f>
        <v/>
      </c>
      <c r="ER11" t="str">
        <f>IF(AND(17&lt;&gt;29,Anmeldung!$D$24&lt;&gt;"",Anmeldung!$G$24&lt;&gt;Anmeldung!$G$36,(Anmeldung!$B$24&amp;": "&amp;Anmeldung!$D$24&amp;", "&amp;Anmeldung!$E$24&amp;" / "&amp;Anmeldung!$G$24&amp;" / "&amp;Anmeldung!$J$24)&lt;&gt;Anmeldung!$S$36),Anmeldung!$B$24&amp;": "&amp;Anmeldung!$D$24&amp;", "&amp;Anmeldung!$E$24&amp;" / "&amp;Anmeldung!$G$24&amp;" / "&amp;Anmeldung!$J$24,"")</f>
        <v/>
      </c>
      <c r="ES11" t="str">
        <f>IF(AND(17&lt;&gt;29,Anmeldung!$D$24&lt;&gt;"",(Anmeldung!$B$24&amp;": "&amp;Anmeldung!$D$24&amp;", "&amp;Anmeldung!$E$24&amp;" / "&amp;Anmeldung!$G$24&amp;" / "&amp;Anmeldung!$J$24)&lt;&gt;Anmeldung!$R$36),Anmeldung!$B$24&amp;": "&amp;Anmeldung!$D$24&amp;", "&amp;Anmeldung!$E$24&amp;" / "&amp;Anmeldung!$G$24&amp;" / "&amp;Anmeldung!$J$24,"")</f>
        <v/>
      </c>
      <c r="ET11" t="str">
        <f>IF(AND(16&lt;&gt;28,Anmeldung!$D$24&lt;&gt;"",Anmeldung!$U$24="Ja",Anmeldung!$G$24=Anmeldung!$G$36,Anmeldung!$J$24=Anmeldung!$J$36),Anmeldung!$B$24&amp;": "&amp;Anmeldung!$D$24&amp;", "&amp;Anmeldung!$E$24&amp;" / "&amp;Anmeldung!$G$24&amp;" / "&amp;Anmeldung!$J$24,"")</f>
        <v/>
      </c>
      <c r="EW11" t="str">
        <f>IF(AND(17&lt;&gt;30,Anmeldung!$D$24&lt;&gt;"",Anmeldung!$G$24=Anmeldung!$G$37,Anmeldung!$J$24=Anmeldung!$J$37),Anmeldung!$B$24&amp;": "&amp;Anmeldung!$D$24&amp;", "&amp;Anmeldung!$E$24&amp;" / "&amp;Anmeldung!$G$24&amp;" / "&amp;Anmeldung!$J$24,"")</f>
        <v/>
      </c>
      <c r="EX11" t="str">
        <f>IF(AND(17&lt;&gt;30,Anmeldung!$D$24&lt;&gt;"",Anmeldung!$G$24=Anmeldung!$G$37,Anmeldung!$J$24=Anmeldung!$J$37,(Anmeldung!$B$24&amp;": "&amp;Anmeldung!$D$24&amp;", "&amp;Anmeldung!$E$24&amp;" / "&amp;Anmeldung!$G$24&amp;" / "&amp;Anmeldung!$J$24)&lt;&gt;Anmeldung!$P$37),Anmeldung!$B$24&amp;": "&amp;Anmeldung!$D$24&amp;", "&amp;Anmeldung!$E$24&amp;" / "&amp;Anmeldung!$G$24&amp;" / "&amp;Anmeldung!$J$24,"")</f>
        <v/>
      </c>
      <c r="EY11" t="str">
        <f>IF(AND(17&lt;&gt;30,Anmeldung!$D$24&lt;&gt;"",Anmeldung!$G$24=Anmeldung!$G$37,Anmeldung!$J$24=Anmeldung!$J$37,(Anmeldung!$B$24&amp;": "&amp;Anmeldung!$D$24&amp;", "&amp;Anmeldung!$E$24&amp;" / "&amp;Anmeldung!$G$24&amp;" / "&amp;Anmeldung!$J$24)&lt;&gt;Anmeldung!$O$37),Anmeldung!$B$24&amp;": "&amp;Anmeldung!$D$24&amp;", "&amp;Anmeldung!$E$24&amp;" / "&amp;Anmeldung!$G$24&amp;" / "&amp;Anmeldung!$J$24,"")</f>
        <v/>
      </c>
      <c r="EZ11" t="str">
        <f>IF(AND(17&lt;&gt;30,Anmeldung!$D$24&lt;&gt;"",Anmeldung!$G$24&lt;&gt;Anmeldung!$G$37,(Anmeldung!$B$24&amp;": "&amp;Anmeldung!$D$24&amp;", "&amp;Anmeldung!$E$24&amp;" / "&amp;Anmeldung!$G$24&amp;" / "&amp;Anmeldung!$J$24)&lt;&gt;Anmeldung!$S$37),Anmeldung!$B$24&amp;": "&amp;Anmeldung!$D$24&amp;", "&amp;Anmeldung!$E$24&amp;" / "&amp;Anmeldung!$G$24&amp;" / "&amp;Anmeldung!$J$24,"")</f>
        <v/>
      </c>
      <c r="FA11" t="str">
        <f>IF(AND(17&lt;&gt;30,Anmeldung!$D$24&lt;&gt;"",(Anmeldung!$B$24&amp;": "&amp;Anmeldung!$D$24&amp;", "&amp;Anmeldung!$E$24&amp;" / "&amp;Anmeldung!$G$24&amp;" / "&amp;Anmeldung!$J$24)&lt;&gt;Anmeldung!$R$37),Anmeldung!$B$24&amp;": "&amp;Anmeldung!$D$24&amp;", "&amp;Anmeldung!$E$24&amp;" / "&amp;Anmeldung!$G$24&amp;" / "&amp;Anmeldung!$J$24,"")</f>
        <v/>
      </c>
      <c r="FB11" t="str">
        <f>IF(AND(16&lt;&gt;29,Anmeldung!$D$24&lt;&gt;"",Anmeldung!$U$24="Ja",Anmeldung!$G$24=Anmeldung!$G$37,Anmeldung!$J$24=Anmeldung!$J$37),Anmeldung!$B$24&amp;": "&amp;Anmeldung!$D$24&amp;", "&amp;Anmeldung!$E$24&amp;" / "&amp;Anmeldung!$G$24&amp;" / "&amp;Anmeldung!$J$24,"")</f>
        <v/>
      </c>
      <c r="FE11" t="str">
        <f>IF(AND(17&lt;&gt;31,Anmeldung!$D$24&lt;&gt;"",Anmeldung!$G$24=Anmeldung!$G$38,Anmeldung!$J$24=Anmeldung!$J$38),Anmeldung!$B$24&amp;": "&amp;Anmeldung!$D$24&amp;", "&amp;Anmeldung!$E$24&amp;" / "&amp;Anmeldung!$G$24&amp;" / "&amp;Anmeldung!$J$24,"")</f>
        <v/>
      </c>
      <c r="FF11" t="str">
        <f>IF(AND(17&lt;&gt;31,Anmeldung!$D$24&lt;&gt;"",Anmeldung!$G$24=Anmeldung!$G$38,Anmeldung!$J$24=Anmeldung!$J$38,(Anmeldung!$B$24&amp;": "&amp;Anmeldung!$D$24&amp;", "&amp;Anmeldung!$E$24&amp;" / "&amp;Anmeldung!$G$24&amp;" / "&amp;Anmeldung!$J$24)&lt;&gt;Anmeldung!$P$38),Anmeldung!$B$24&amp;": "&amp;Anmeldung!$D$24&amp;", "&amp;Anmeldung!$E$24&amp;" / "&amp;Anmeldung!$G$24&amp;" / "&amp;Anmeldung!$J$24,"")</f>
        <v/>
      </c>
      <c r="FG11" t="str">
        <f>IF(AND(17&lt;&gt;31,Anmeldung!$D$24&lt;&gt;"",Anmeldung!$G$24=Anmeldung!$G$38,Anmeldung!$J$24=Anmeldung!$J$38,(Anmeldung!$B$24&amp;": "&amp;Anmeldung!$D$24&amp;", "&amp;Anmeldung!$E$24&amp;" / "&amp;Anmeldung!$G$24&amp;" / "&amp;Anmeldung!$J$24)&lt;&gt;Anmeldung!$O$38),Anmeldung!$B$24&amp;": "&amp;Anmeldung!$D$24&amp;", "&amp;Anmeldung!$E$24&amp;" / "&amp;Anmeldung!$G$24&amp;" / "&amp;Anmeldung!$J$24,"")</f>
        <v/>
      </c>
      <c r="FH11" t="str">
        <f>IF(AND(17&lt;&gt;31,Anmeldung!$D$24&lt;&gt;"",Anmeldung!$G$24&lt;&gt;Anmeldung!$G$38,(Anmeldung!$B$24&amp;": "&amp;Anmeldung!$D$24&amp;", "&amp;Anmeldung!$E$24&amp;" / "&amp;Anmeldung!$G$24&amp;" / "&amp;Anmeldung!$J$24)&lt;&gt;Anmeldung!$S$38),Anmeldung!$B$24&amp;": "&amp;Anmeldung!$D$24&amp;", "&amp;Anmeldung!$E$24&amp;" / "&amp;Anmeldung!$G$24&amp;" / "&amp;Anmeldung!$J$24,"")</f>
        <v/>
      </c>
      <c r="FI11" t="str">
        <f>IF(AND(17&lt;&gt;31,Anmeldung!$D$24&lt;&gt;"",(Anmeldung!$B$24&amp;": "&amp;Anmeldung!$D$24&amp;", "&amp;Anmeldung!$E$24&amp;" / "&amp;Anmeldung!$G$24&amp;" / "&amp;Anmeldung!$J$24)&lt;&gt;Anmeldung!$R$38),Anmeldung!$B$24&amp;": "&amp;Anmeldung!$D$24&amp;", "&amp;Anmeldung!$E$24&amp;" / "&amp;Anmeldung!$G$24&amp;" / "&amp;Anmeldung!$J$24,"")</f>
        <v/>
      </c>
      <c r="FJ11" t="str">
        <f>IF(AND(16&lt;&gt;30,Anmeldung!$D$24&lt;&gt;"",Anmeldung!$U$24="Ja",Anmeldung!$G$24=Anmeldung!$G$38,Anmeldung!$J$24=Anmeldung!$J$38),Anmeldung!$B$24&amp;": "&amp;Anmeldung!$D$24&amp;", "&amp;Anmeldung!$E$24&amp;" / "&amp;Anmeldung!$G$24&amp;" / "&amp;Anmeldung!$J$24,"")</f>
        <v/>
      </c>
      <c r="FM11" t="str">
        <f>IF(AND(17&lt;&gt;32,Anmeldung!$D$24&lt;&gt;"",Anmeldung!$G$24=Anmeldung!$G$39,Anmeldung!$J$24=Anmeldung!$J$39),Anmeldung!$B$24&amp;": "&amp;Anmeldung!$D$24&amp;", "&amp;Anmeldung!$E$24&amp;" / "&amp;Anmeldung!$G$24&amp;" / "&amp;Anmeldung!$J$24,"")</f>
        <v/>
      </c>
      <c r="FN11" t="str">
        <f>IF(AND(17&lt;&gt;32,Anmeldung!$D$24&lt;&gt;"",Anmeldung!$G$24=Anmeldung!$G$39,Anmeldung!$J$24=Anmeldung!$J$39,(Anmeldung!$B$24&amp;": "&amp;Anmeldung!$D$24&amp;", "&amp;Anmeldung!$E$24&amp;" / "&amp;Anmeldung!$G$24&amp;" / "&amp;Anmeldung!$J$24)&lt;&gt;Anmeldung!$P$39),Anmeldung!$B$24&amp;": "&amp;Anmeldung!$D$24&amp;", "&amp;Anmeldung!$E$24&amp;" / "&amp;Anmeldung!$G$24&amp;" / "&amp;Anmeldung!$J$24,"")</f>
        <v/>
      </c>
      <c r="FO11" t="str">
        <f>IF(AND(17&lt;&gt;32,Anmeldung!$D$24&lt;&gt;"",Anmeldung!$G$24=Anmeldung!$G$39,Anmeldung!$J$24=Anmeldung!$J$39,(Anmeldung!$B$24&amp;": "&amp;Anmeldung!$D$24&amp;", "&amp;Anmeldung!$E$24&amp;" / "&amp;Anmeldung!$G$24&amp;" / "&amp;Anmeldung!$J$24)&lt;&gt;Anmeldung!$O$39),Anmeldung!$B$24&amp;": "&amp;Anmeldung!$D$24&amp;", "&amp;Anmeldung!$E$24&amp;" / "&amp;Anmeldung!$G$24&amp;" / "&amp;Anmeldung!$J$24,"")</f>
        <v/>
      </c>
      <c r="FP11" t="str">
        <f>IF(AND(17&lt;&gt;32,Anmeldung!$D$24&lt;&gt;"",Anmeldung!$G$24&lt;&gt;Anmeldung!$G$39,(Anmeldung!$B$24&amp;": "&amp;Anmeldung!$D$24&amp;", "&amp;Anmeldung!$E$24&amp;" / "&amp;Anmeldung!$G$24&amp;" / "&amp;Anmeldung!$J$24)&lt;&gt;Anmeldung!$S$39),Anmeldung!$B$24&amp;": "&amp;Anmeldung!$D$24&amp;", "&amp;Anmeldung!$E$24&amp;" / "&amp;Anmeldung!$G$24&amp;" / "&amp;Anmeldung!$J$24,"")</f>
        <v/>
      </c>
      <c r="FQ11" t="str">
        <f>IF(AND(17&lt;&gt;32,Anmeldung!$D$24&lt;&gt;"",(Anmeldung!$B$24&amp;": "&amp;Anmeldung!$D$24&amp;", "&amp;Anmeldung!$E$24&amp;" / "&amp;Anmeldung!$G$24&amp;" / "&amp;Anmeldung!$J$24)&lt;&gt;Anmeldung!$R$39),Anmeldung!$B$24&amp;": "&amp;Anmeldung!$D$24&amp;", "&amp;Anmeldung!$E$24&amp;" / "&amp;Anmeldung!$G$24&amp;" / "&amp;Anmeldung!$J$24,"")</f>
        <v/>
      </c>
      <c r="FR11" t="str">
        <f>IF(AND(16&lt;&gt;31,Anmeldung!$D$24&lt;&gt;"",Anmeldung!$U$24="Ja",Anmeldung!$G$24=Anmeldung!$G$39,Anmeldung!$J$24=Anmeldung!$J$39),Anmeldung!$B$24&amp;": "&amp;Anmeldung!$D$24&amp;", "&amp;Anmeldung!$E$24&amp;" / "&amp;Anmeldung!$G$24&amp;" / "&amp;Anmeldung!$J$24,"")</f>
        <v/>
      </c>
      <c r="FU11" t="str">
        <f>IF(AND(17&lt;&gt;33,Anmeldung!$D$24&lt;&gt;"",Anmeldung!$G$24=Anmeldung!$G$40,Anmeldung!$J$24=Anmeldung!$J$40),Anmeldung!$B$24&amp;": "&amp;Anmeldung!$D$24&amp;", "&amp;Anmeldung!$E$24&amp;" / "&amp;Anmeldung!$G$24&amp;" / "&amp;Anmeldung!$J$24,"")</f>
        <v/>
      </c>
      <c r="FV11" t="str">
        <f>IF(AND(17&lt;&gt;33,Anmeldung!$D$24&lt;&gt;"",Anmeldung!$G$24=Anmeldung!$G$40,Anmeldung!$J$24=Anmeldung!$J$40,(Anmeldung!$B$24&amp;": "&amp;Anmeldung!$D$24&amp;", "&amp;Anmeldung!$E$24&amp;" / "&amp;Anmeldung!$G$24&amp;" / "&amp;Anmeldung!$J$24)&lt;&gt;Anmeldung!$P$40),Anmeldung!$B$24&amp;": "&amp;Anmeldung!$D$24&amp;", "&amp;Anmeldung!$E$24&amp;" / "&amp;Anmeldung!$G$24&amp;" / "&amp;Anmeldung!$J$24,"")</f>
        <v/>
      </c>
      <c r="FW11" t="str">
        <f>IF(AND(17&lt;&gt;33,Anmeldung!$D$24&lt;&gt;"",Anmeldung!$G$24=Anmeldung!$G$40,Anmeldung!$J$24=Anmeldung!$J$40,(Anmeldung!$B$24&amp;": "&amp;Anmeldung!$D$24&amp;", "&amp;Anmeldung!$E$24&amp;" / "&amp;Anmeldung!$G$24&amp;" / "&amp;Anmeldung!$J$24)&lt;&gt;Anmeldung!$O$40),Anmeldung!$B$24&amp;": "&amp;Anmeldung!$D$24&amp;", "&amp;Anmeldung!$E$24&amp;" / "&amp;Anmeldung!$G$24&amp;" / "&amp;Anmeldung!$J$24,"")</f>
        <v/>
      </c>
      <c r="FX11" t="str">
        <f>IF(AND(17&lt;&gt;33,Anmeldung!$D$24&lt;&gt;"",Anmeldung!$G$24&lt;&gt;Anmeldung!$G$40,(Anmeldung!$B$24&amp;": "&amp;Anmeldung!$D$24&amp;", "&amp;Anmeldung!$E$24&amp;" / "&amp;Anmeldung!$G$24&amp;" / "&amp;Anmeldung!$J$24)&lt;&gt;Anmeldung!$S$40),Anmeldung!$B$24&amp;": "&amp;Anmeldung!$D$24&amp;", "&amp;Anmeldung!$E$24&amp;" / "&amp;Anmeldung!$G$24&amp;" / "&amp;Anmeldung!$J$24,"")</f>
        <v/>
      </c>
      <c r="FY11" t="str">
        <f>IF(AND(17&lt;&gt;33,Anmeldung!$D$24&lt;&gt;"",(Anmeldung!$B$24&amp;": "&amp;Anmeldung!$D$24&amp;", "&amp;Anmeldung!$E$24&amp;" / "&amp;Anmeldung!$G$24&amp;" / "&amp;Anmeldung!$J$24)&lt;&gt;Anmeldung!$R$40),Anmeldung!$B$24&amp;": "&amp;Anmeldung!$D$24&amp;", "&amp;Anmeldung!$E$24&amp;" / "&amp;Anmeldung!$G$24&amp;" / "&amp;Anmeldung!$J$24,"")</f>
        <v/>
      </c>
      <c r="FZ11" t="str">
        <f>IF(AND(16&lt;&gt;32,Anmeldung!$D$24&lt;&gt;"",Anmeldung!$U$24="Ja",Anmeldung!$G$24=Anmeldung!$G$40,Anmeldung!$J$24=Anmeldung!$J$40),Anmeldung!$B$24&amp;": "&amp;Anmeldung!$D$24&amp;", "&amp;Anmeldung!$E$24&amp;" / "&amp;Anmeldung!$G$24&amp;" / "&amp;Anmeldung!$J$24,"")</f>
        <v/>
      </c>
      <c r="GC11" t="str">
        <f>IF(AND(17&lt;&gt;34,Anmeldung!$D$24&lt;&gt;"",Anmeldung!$G$24=Anmeldung!$G$41,Anmeldung!$J$24=Anmeldung!$J$41),Anmeldung!$B$24&amp;": "&amp;Anmeldung!$D$24&amp;", "&amp;Anmeldung!$E$24&amp;" / "&amp;Anmeldung!$G$24&amp;" / "&amp;Anmeldung!$J$24,"")</f>
        <v/>
      </c>
      <c r="GD11" t="str">
        <f>IF(AND(17&lt;&gt;34,Anmeldung!$D$24&lt;&gt;"",Anmeldung!$G$24=Anmeldung!$G$41,Anmeldung!$J$24=Anmeldung!$J$41,(Anmeldung!$B$24&amp;": "&amp;Anmeldung!$D$24&amp;", "&amp;Anmeldung!$E$24&amp;" / "&amp;Anmeldung!$G$24&amp;" / "&amp;Anmeldung!$J$24)&lt;&gt;Anmeldung!$P$41),Anmeldung!$B$24&amp;": "&amp;Anmeldung!$D$24&amp;", "&amp;Anmeldung!$E$24&amp;" / "&amp;Anmeldung!$G$24&amp;" / "&amp;Anmeldung!$J$24,"")</f>
        <v/>
      </c>
      <c r="GE11" t="str">
        <f>IF(AND(17&lt;&gt;34,Anmeldung!$D$24&lt;&gt;"",Anmeldung!$G$24=Anmeldung!$G$41,Anmeldung!$J$24=Anmeldung!$J$41,(Anmeldung!$B$24&amp;": "&amp;Anmeldung!$D$24&amp;", "&amp;Anmeldung!$E$24&amp;" / "&amp;Anmeldung!$G$24&amp;" / "&amp;Anmeldung!$J$24)&lt;&gt;Anmeldung!$O$41),Anmeldung!$B$24&amp;": "&amp;Anmeldung!$D$24&amp;", "&amp;Anmeldung!$E$24&amp;" / "&amp;Anmeldung!$G$24&amp;" / "&amp;Anmeldung!$J$24,"")</f>
        <v/>
      </c>
      <c r="GF11" t="str">
        <f>IF(AND(17&lt;&gt;34,Anmeldung!$D$24&lt;&gt;"",Anmeldung!$G$24&lt;&gt;Anmeldung!$G$41,(Anmeldung!$B$24&amp;": "&amp;Anmeldung!$D$24&amp;", "&amp;Anmeldung!$E$24&amp;" / "&amp;Anmeldung!$G$24&amp;" / "&amp;Anmeldung!$J$24)&lt;&gt;Anmeldung!$S$41),Anmeldung!$B$24&amp;": "&amp;Anmeldung!$D$24&amp;", "&amp;Anmeldung!$E$24&amp;" / "&amp;Anmeldung!$G$24&amp;" / "&amp;Anmeldung!$J$24,"")</f>
        <v/>
      </c>
      <c r="GG11" t="str">
        <f>IF(AND(17&lt;&gt;34,Anmeldung!$D$24&lt;&gt;"",(Anmeldung!$B$24&amp;": "&amp;Anmeldung!$D$24&amp;", "&amp;Anmeldung!$E$24&amp;" / "&amp;Anmeldung!$G$24&amp;" / "&amp;Anmeldung!$J$24)&lt;&gt;Anmeldung!$R$41),Anmeldung!$B$24&amp;": "&amp;Anmeldung!$D$24&amp;", "&amp;Anmeldung!$E$24&amp;" / "&amp;Anmeldung!$G$24&amp;" / "&amp;Anmeldung!$J$24,"")</f>
        <v/>
      </c>
      <c r="GH11" t="str">
        <f>IF(AND(16&lt;&gt;33,Anmeldung!$D$24&lt;&gt;"",Anmeldung!$U$24="Ja",Anmeldung!$G$24=Anmeldung!$G$41,Anmeldung!$J$24=Anmeldung!$J$41),Anmeldung!$B$24&amp;": "&amp;Anmeldung!$D$24&amp;", "&amp;Anmeldung!$E$24&amp;" / "&amp;Anmeldung!$G$24&amp;" / "&amp;Anmeldung!$J$24,"")</f>
        <v/>
      </c>
      <c r="GK11" t="str">
        <f>IF(AND(17&lt;&gt;35,Anmeldung!$D$24&lt;&gt;"",Anmeldung!$G$24=Anmeldung!$G$42,Anmeldung!$J$24=Anmeldung!$J$42),Anmeldung!$B$24&amp;": "&amp;Anmeldung!$D$24&amp;", "&amp;Anmeldung!$E$24&amp;" / "&amp;Anmeldung!$G$24&amp;" / "&amp;Anmeldung!$J$24,"")</f>
        <v/>
      </c>
      <c r="GL11" t="str">
        <f>IF(AND(17&lt;&gt;35,Anmeldung!$D$24&lt;&gt;"",Anmeldung!$G$24=Anmeldung!$G$42,Anmeldung!$J$24=Anmeldung!$J$42,(Anmeldung!$B$24&amp;": "&amp;Anmeldung!$D$24&amp;", "&amp;Anmeldung!$E$24&amp;" / "&amp;Anmeldung!$G$24&amp;" / "&amp;Anmeldung!$J$24)&lt;&gt;Anmeldung!$P$42),Anmeldung!$B$24&amp;": "&amp;Anmeldung!$D$24&amp;", "&amp;Anmeldung!$E$24&amp;" / "&amp;Anmeldung!$G$24&amp;" / "&amp;Anmeldung!$J$24,"")</f>
        <v/>
      </c>
      <c r="GM11" t="str">
        <f>IF(AND(17&lt;&gt;35,Anmeldung!$D$24&lt;&gt;"",Anmeldung!$G$24=Anmeldung!$G$42,Anmeldung!$J$24=Anmeldung!$J$42,(Anmeldung!$B$24&amp;": "&amp;Anmeldung!$D$24&amp;", "&amp;Anmeldung!$E$24&amp;" / "&amp;Anmeldung!$G$24&amp;" / "&amp;Anmeldung!$J$24)&lt;&gt;Anmeldung!$O$42),Anmeldung!$B$24&amp;": "&amp;Anmeldung!$D$24&amp;", "&amp;Anmeldung!$E$24&amp;" / "&amp;Anmeldung!$G$24&amp;" / "&amp;Anmeldung!$J$24,"")</f>
        <v/>
      </c>
      <c r="GN11" t="str">
        <f>IF(AND(17&lt;&gt;35,Anmeldung!$D$24&lt;&gt;"",Anmeldung!$G$24&lt;&gt;Anmeldung!$G$42,(Anmeldung!$B$24&amp;": "&amp;Anmeldung!$D$24&amp;", "&amp;Anmeldung!$E$24&amp;" / "&amp;Anmeldung!$G$24&amp;" / "&amp;Anmeldung!$J$24)&lt;&gt;Anmeldung!$S$42),Anmeldung!$B$24&amp;": "&amp;Anmeldung!$D$24&amp;", "&amp;Anmeldung!$E$24&amp;" / "&amp;Anmeldung!$G$24&amp;" / "&amp;Anmeldung!$J$24,"")</f>
        <v/>
      </c>
      <c r="GO11" t="str">
        <f>IF(AND(17&lt;&gt;35,Anmeldung!$D$24&lt;&gt;"",(Anmeldung!$B$24&amp;": "&amp;Anmeldung!$D$24&amp;", "&amp;Anmeldung!$E$24&amp;" / "&amp;Anmeldung!$G$24&amp;" / "&amp;Anmeldung!$J$24)&lt;&gt;Anmeldung!$R$42),Anmeldung!$B$24&amp;": "&amp;Anmeldung!$D$24&amp;", "&amp;Anmeldung!$E$24&amp;" / "&amp;Anmeldung!$G$24&amp;" / "&amp;Anmeldung!$J$24,"")</f>
        <v/>
      </c>
      <c r="GP11" t="str">
        <f>IF(AND(16&lt;&gt;34,Anmeldung!$D$24&lt;&gt;"",Anmeldung!$U$24="Ja",Anmeldung!$G$24=Anmeldung!$G$42,Anmeldung!$J$24=Anmeldung!$J$42),Anmeldung!$B$24&amp;": "&amp;Anmeldung!$D$24&amp;", "&amp;Anmeldung!$E$24&amp;" / "&amp;Anmeldung!$G$24&amp;" / "&amp;Anmeldung!$J$24,"")</f>
        <v/>
      </c>
      <c r="GS11" t="str">
        <f>IF(AND(17&lt;&gt;36,Anmeldung!$D$24&lt;&gt;"",Anmeldung!$G$24=Anmeldung!$G$43,Anmeldung!$J$24=Anmeldung!$J$43),Anmeldung!$B$24&amp;": "&amp;Anmeldung!$D$24&amp;", "&amp;Anmeldung!$E$24&amp;" / "&amp;Anmeldung!$G$24&amp;" / "&amp;Anmeldung!$J$24,"")</f>
        <v/>
      </c>
      <c r="GT11" t="str">
        <f>IF(AND(17&lt;&gt;36,Anmeldung!$D$24&lt;&gt;"",Anmeldung!$G$24=Anmeldung!$G$43,Anmeldung!$J$24=Anmeldung!$J$43,(Anmeldung!$B$24&amp;": "&amp;Anmeldung!$D$24&amp;", "&amp;Anmeldung!$E$24&amp;" / "&amp;Anmeldung!$G$24&amp;" / "&amp;Anmeldung!$J$24)&lt;&gt;Anmeldung!$P$43),Anmeldung!$B$24&amp;": "&amp;Anmeldung!$D$24&amp;", "&amp;Anmeldung!$E$24&amp;" / "&amp;Anmeldung!$G$24&amp;" / "&amp;Anmeldung!$J$24,"")</f>
        <v/>
      </c>
      <c r="GU11" t="str">
        <f>IF(AND(17&lt;&gt;36,Anmeldung!$D$24&lt;&gt;"",Anmeldung!$G$24=Anmeldung!$G$43,Anmeldung!$J$24=Anmeldung!$J$43,(Anmeldung!$B$24&amp;": "&amp;Anmeldung!$D$24&amp;", "&amp;Anmeldung!$E$24&amp;" / "&amp;Anmeldung!$G$24&amp;" / "&amp;Anmeldung!$J$24)&lt;&gt;Anmeldung!$O$43),Anmeldung!$B$24&amp;": "&amp;Anmeldung!$D$24&amp;", "&amp;Anmeldung!$E$24&amp;" / "&amp;Anmeldung!$G$24&amp;" / "&amp;Anmeldung!$J$24,"")</f>
        <v/>
      </c>
      <c r="GV11" t="str">
        <f>IF(AND(17&lt;&gt;36,Anmeldung!$D$24&lt;&gt;"",Anmeldung!$G$24&lt;&gt;Anmeldung!$G$43,(Anmeldung!$B$24&amp;": "&amp;Anmeldung!$D$24&amp;", "&amp;Anmeldung!$E$24&amp;" / "&amp;Anmeldung!$G$24&amp;" / "&amp;Anmeldung!$J$24)&lt;&gt;Anmeldung!$S$43),Anmeldung!$B$24&amp;": "&amp;Anmeldung!$D$24&amp;", "&amp;Anmeldung!$E$24&amp;" / "&amp;Anmeldung!$G$24&amp;" / "&amp;Anmeldung!$J$24,"")</f>
        <v/>
      </c>
      <c r="GW11" t="str">
        <f>IF(AND(17&lt;&gt;36,Anmeldung!$D$24&lt;&gt;"",(Anmeldung!$B$24&amp;": "&amp;Anmeldung!$D$24&amp;", "&amp;Anmeldung!$E$24&amp;" / "&amp;Anmeldung!$G$24&amp;" / "&amp;Anmeldung!$J$24)&lt;&gt;Anmeldung!$R$43),Anmeldung!$B$24&amp;": "&amp;Anmeldung!$D$24&amp;", "&amp;Anmeldung!$E$24&amp;" / "&amp;Anmeldung!$G$24&amp;" / "&amp;Anmeldung!$J$24,"")</f>
        <v/>
      </c>
      <c r="GX11" t="str">
        <f>IF(AND(16&lt;&gt;35,Anmeldung!$D$24&lt;&gt;"",Anmeldung!$U$24="Ja",Anmeldung!$G$24=Anmeldung!$G$43,Anmeldung!$J$24=Anmeldung!$J$43),Anmeldung!$B$24&amp;": "&amp;Anmeldung!$D$24&amp;", "&amp;Anmeldung!$E$24&amp;" / "&amp;Anmeldung!$G$24&amp;" / "&amp;Anmeldung!$J$24,"")</f>
        <v/>
      </c>
      <c r="HA11" t="str">
        <f>IF(AND(17&lt;&gt;37,Anmeldung!$D$24&lt;&gt;"",Anmeldung!$G$24=Anmeldung!$G$44,Anmeldung!$J$24=Anmeldung!$J$44),Anmeldung!$B$24&amp;": "&amp;Anmeldung!$D$24&amp;", "&amp;Anmeldung!$E$24&amp;" / "&amp;Anmeldung!$G$24&amp;" / "&amp;Anmeldung!$J$24,"")</f>
        <v/>
      </c>
      <c r="HB11" t="str">
        <f>IF(AND(17&lt;&gt;37,Anmeldung!$D$24&lt;&gt;"",Anmeldung!$G$24=Anmeldung!$G$44,Anmeldung!$J$24=Anmeldung!$J$44,(Anmeldung!$B$24&amp;": "&amp;Anmeldung!$D$24&amp;", "&amp;Anmeldung!$E$24&amp;" / "&amp;Anmeldung!$G$24&amp;" / "&amp;Anmeldung!$J$24)&lt;&gt;Anmeldung!$P$44),Anmeldung!$B$24&amp;": "&amp;Anmeldung!$D$24&amp;", "&amp;Anmeldung!$E$24&amp;" / "&amp;Anmeldung!$G$24&amp;" / "&amp;Anmeldung!$J$24,"")</f>
        <v/>
      </c>
      <c r="HC11" t="str">
        <f>IF(AND(17&lt;&gt;37,Anmeldung!$D$24&lt;&gt;"",Anmeldung!$G$24=Anmeldung!$G$44,Anmeldung!$J$24=Anmeldung!$J$44,(Anmeldung!$B$24&amp;": "&amp;Anmeldung!$D$24&amp;", "&amp;Anmeldung!$E$24&amp;" / "&amp;Anmeldung!$G$24&amp;" / "&amp;Anmeldung!$J$24)&lt;&gt;Anmeldung!$O$44),Anmeldung!$B$24&amp;": "&amp;Anmeldung!$D$24&amp;", "&amp;Anmeldung!$E$24&amp;" / "&amp;Anmeldung!$G$24&amp;" / "&amp;Anmeldung!$J$24,"")</f>
        <v/>
      </c>
      <c r="HD11" t="str">
        <f>IF(AND(17&lt;&gt;37,Anmeldung!$D$24&lt;&gt;"",Anmeldung!$G$24&lt;&gt;Anmeldung!$G$44,(Anmeldung!$B$24&amp;": "&amp;Anmeldung!$D$24&amp;", "&amp;Anmeldung!$E$24&amp;" / "&amp;Anmeldung!$G$24&amp;" / "&amp;Anmeldung!$J$24)&lt;&gt;Anmeldung!$S$44),Anmeldung!$B$24&amp;": "&amp;Anmeldung!$D$24&amp;", "&amp;Anmeldung!$E$24&amp;" / "&amp;Anmeldung!$G$24&amp;" / "&amp;Anmeldung!$J$24,"")</f>
        <v/>
      </c>
      <c r="HE11" t="str">
        <f>IF(AND(17&lt;&gt;37,Anmeldung!$D$24&lt;&gt;"",(Anmeldung!$B$24&amp;": "&amp;Anmeldung!$D$24&amp;", "&amp;Anmeldung!$E$24&amp;" / "&amp;Anmeldung!$G$24&amp;" / "&amp;Anmeldung!$J$24)&lt;&gt;Anmeldung!$R$44),Anmeldung!$B$24&amp;": "&amp;Anmeldung!$D$24&amp;", "&amp;Anmeldung!$E$24&amp;" / "&amp;Anmeldung!$G$24&amp;" / "&amp;Anmeldung!$J$24,"")</f>
        <v/>
      </c>
      <c r="HF11" t="str">
        <f>IF(AND(16&lt;&gt;36,Anmeldung!$D$24&lt;&gt;"",Anmeldung!$U$24="Ja",Anmeldung!$G$24=Anmeldung!$G$44,Anmeldung!$J$24=Anmeldung!$J$44),Anmeldung!$B$24&amp;": "&amp;Anmeldung!$D$24&amp;", "&amp;Anmeldung!$E$24&amp;" / "&amp;Anmeldung!$G$24&amp;" / "&amp;Anmeldung!$J$24,"")</f>
        <v/>
      </c>
      <c r="HI11" t="str">
        <f>IF(AND(17&lt;&gt;38,Anmeldung!$D$24&lt;&gt;"",Anmeldung!$G$24=Anmeldung!$G$45,Anmeldung!$J$24=Anmeldung!$J$45),Anmeldung!$B$24&amp;": "&amp;Anmeldung!$D$24&amp;", "&amp;Anmeldung!$E$24&amp;" / "&amp;Anmeldung!$G$24&amp;" / "&amp;Anmeldung!$J$24,"")</f>
        <v/>
      </c>
      <c r="HJ11" t="str">
        <f>IF(AND(17&lt;&gt;38,Anmeldung!$D$24&lt;&gt;"",Anmeldung!$G$24=Anmeldung!$G$45,Anmeldung!$J$24=Anmeldung!$J$45,(Anmeldung!$B$24&amp;": "&amp;Anmeldung!$D$24&amp;", "&amp;Anmeldung!$E$24&amp;" / "&amp;Anmeldung!$G$24&amp;" / "&amp;Anmeldung!$J$24)&lt;&gt;Anmeldung!$P$45),Anmeldung!$B$24&amp;": "&amp;Anmeldung!$D$24&amp;", "&amp;Anmeldung!$E$24&amp;" / "&amp;Anmeldung!$G$24&amp;" / "&amp;Anmeldung!$J$24,"")</f>
        <v/>
      </c>
      <c r="HK11" t="str">
        <f>IF(AND(17&lt;&gt;38,Anmeldung!$D$24&lt;&gt;"",Anmeldung!$G$24=Anmeldung!$G$45,Anmeldung!$J$24=Anmeldung!$J$45,(Anmeldung!$B$24&amp;": "&amp;Anmeldung!$D$24&amp;", "&amp;Anmeldung!$E$24&amp;" / "&amp;Anmeldung!$G$24&amp;" / "&amp;Anmeldung!$J$24)&lt;&gt;Anmeldung!$O$45),Anmeldung!$B$24&amp;": "&amp;Anmeldung!$D$24&amp;", "&amp;Anmeldung!$E$24&amp;" / "&amp;Anmeldung!$G$24&amp;" / "&amp;Anmeldung!$J$24,"")</f>
        <v/>
      </c>
      <c r="HL11" t="str">
        <f>IF(AND(17&lt;&gt;38,Anmeldung!$D$24&lt;&gt;"",Anmeldung!$G$24&lt;&gt;Anmeldung!$G$45,(Anmeldung!$B$24&amp;": "&amp;Anmeldung!$D$24&amp;", "&amp;Anmeldung!$E$24&amp;" / "&amp;Anmeldung!$G$24&amp;" / "&amp;Anmeldung!$J$24)&lt;&gt;Anmeldung!$S$45),Anmeldung!$B$24&amp;": "&amp;Anmeldung!$D$24&amp;", "&amp;Anmeldung!$E$24&amp;" / "&amp;Anmeldung!$G$24&amp;" / "&amp;Anmeldung!$J$24,"")</f>
        <v/>
      </c>
      <c r="HM11" t="str">
        <f>IF(AND(17&lt;&gt;38,Anmeldung!$D$24&lt;&gt;"",(Anmeldung!$B$24&amp;": "&amp;Anmeldung!$D$24&amp;", "&amp;Anmeldung!$E$24&amp;" / "&amp;Anmeldung!$G$24&amp;" / "&amp;Anmeldung!$J$24)&lt;&gt;Anmeldung!$R$45),Anmeldung!$B$24&amp;": "&amp;Anmeldung!$D$24&amp;", "&amp;Anmeldung!$E$24&amp;" / "&amp;Anmeldung!$G$24&amp;" / "&amp;Anmeldung!$J$24,"")</f>
        <v/>
      </c>
      <c r="HN11" t="str">
        <f>IF(AND(16&lt;&gt;37,Anmeldung!$D$24&lt;&gt;"",Anmeldung!$U$24="Ja",Anmeldung!$G$24=Anmeldung!$G$45,Anmeldung!$J$24=Anmeldung!$J$45),Anmeldung!$B$24&amp;": "&amp;Anmeldung!$D$24&amp;", "&amp;Anmeldung!$E$24&amp;" / "&amp;Anmeldung!$G$24&amp;" / "&amp;Anmeldung!$J$24,"")</f>
        <v/>
      </c>
      <c r="HQ11" t="str">
        <f>IF(AND(17&lt;&gt;39,Anmeldung!$D$24&lt;&gt;"",Anmeldung!$G$24=Anmeldung!$G$46,Anmeldung!$J$24=Anmeldung!$J$46),Anmeldung!$B$24&amp;": "&amp;Anmeldung!$D$24&amp;", "&amp;Anmeldung!$E$24&amp;" / "&amp;Anmeldung!$G$24&amp;" / "&amp;Anmeldung!$J$24,"")</f>
        <v/>
      </c>
      <c r="HR11" t="str">
        <f>IF(AND(17&lt;&gt;39,Anmeldung!$D$24&lt;&gt;"",Anmeldung!$G$24=Anmeldung!$G$46,Anmeldung!$J$24=Anmeldung!$J$46,(Anmeldung!$B$24&amp;": "&amp;Anmeldung!$D$24&amp;", "&amp;Anmeldung!$E$24&amp;" / "&amp;Anmeldung!$G$24&amp;" / "&amp;Anmeldung!$J$24)&lt;&gt;Anmeldung!$P$46),Anmeldung!$B$24&amp;": "&amp;Anmeldung!$D$24&amp;", "&amp;Anmeldung!$E$24&amp;" / "&amp;Anmeldung!$G$24&amp;" / "&amp;Anmeldung!$J$24,"")</f>
        <v/>
      </c>
      <c r="HS11" t="str">
        <f>IF(AND(17&lt;&gt;39,Anmeldung!$D$24&lt;&gt;"",Anmeldung!$G$24=Anmeldung!$G$46,Anmeldung!$J$24=Anmeldung!$J$46,(Anmeldung!$B$24&amp;": "&amp;Anmeldung!$D$24&amp;", "&amp;Anmeldung!$E$24&amp;" / "&amp;Anmeldung!$G$24&amp;" / "&amp;Anmeldung!$J$24)&lt;&gt;Anmeldung!$O$46),Anmeldung!$B$24&amp;": "&amp;Anmeldung!$D$24&amp;", "&amp;Anmeldung!$E$24&amp;" / "&amp;Anmeldung!$G$24&amp;" / "&amp;Anmeldung!$J$24,"")</f>
        <v/>
      </c>
      <c r="HT11" t="str">
        <f>IF(AND(17&lt;&gt;39,Anmeldung!$D$24&lt;&gt;"",Anmeldung!$G$24&lt;&gt;Anmeldung!$G$46,(Anmeldung!$B$24&amp;": "&amp;Anmeldung!$D$24&amp;", "&amp;Anmeldung!$E$24&amp;" / "&amp;Anmeldung!$G$24&amp;" / "&amp;Anmeldung!$J$24)&lt;&gt;Anmeldung!$S$46),Anmeldung!$B$24&amp;": "&amp;Anmeldung!$D$24&amp;", "&amp;Anmeldung!$E$24&amp;" / "&amp;Anmeldung!$G$24&amp;" / "&amp;Anmeldung!$J$24,"")</f>
        <v/>
      </c>
      <c r="HU11" t="str">
        <f>IF(AND(17&lt;&gt;39,Anmeldung!$D$24&lt;&gt;"",(Anmeldung!$B$24&amp;": "&amp;Anmeldung!$D$24&amp;", "&amp;Anmeldung!$E$24&amp;" / "&amp;Anmeldung!$G$24&amp;" / "&amp;Anmeldung!$J$24)&lt;&gt;Anmeldung!$R$46),Anmeldung!$B$24&amp;": "&amp;Anmeldung!$D$24&amp;", "&amp;Anmeldung!$E$24&amp;" / "&amp;Anmeldung!$G$24&amp;" / "&amp;Anmeldung!$J$24,"")</f>
        <v/>
      </c>
      <c r="HV11" t="str">
        <f>IF(AND(16&lt;&gt;38,Anmeldung!$D$24&lt;&gt;"",Anmeldung!$U$24="Ja",Anmeldung!$G$24=Anmeldung!$G$46,Anmeldung!$J$24=Anmeldung!$J$46),Anmeldung!$B$24&amp;": "&amp;Anmeldung!$D$24&amp;", "&amp;Anmeldung!$E$24&amp;" / "&amp;Anmeldung!$G$24&amp;" / "&amp;Anmeldung!$J$24,"")</f>
        <v/>
      </c>
      <c r="HY11" t="str">
        <f>IF(AND(17&lt;&gt;40,Anmeldung!$D$24&lt;&gt;"",Anmeldung!$G$24=Anmeldung!$G$47,Anmeldung!$J$24=Anmeldung!$J$47),Anmeldung!$B$24&amp;": "&amp;Anmeldung!$D$24&amp;", "&amp;Anmeldung!$E$24&amp;" / "&amp;Anmeldung!$G$24&amp;" / "&amp;Anmeldung!$J$24,"")</f>
        <v/>
      </c>
      <c r="HZ11" t="str">
        <f>IF(AND(17&lt;&gt;40,Anmeldung!$D$24&lt;&gt;"",Anmeldung!$G$24=Anmeldung!$G$47,Anmeldung!$J$24=Anmeldung!$J$47,(Anmeldung!$B$24&amp;": "&amp;Anmeldung!$D$24&amp;", "&amp;Anmeldung!$E$24&amp;" / "&amp;Anmeldung!$G$24&amp;" / "&amp;Anmeldung!$J$24)&lt;&gt;Anmeldung!$P$47),Anmeldung!$B$24&amp;": "&amp;Anmeldung!$D$24&amp;", "&amp;Anmeldung!$E$24&amp;" / "&amp;Anmeldung!$G$24&amp;" / "&amp;Anmeldung!$J$24,"")</f>
        <v/>
      </c>
      <c r="IA11" t="str">
        <f>IF(AND(17&lt;&gt;40,Anmeldung!$D$24&lt;&gt;"",Anmeldung!$G$24=Anmeldung!$G$47,Anmeldung!$J$24=Anmeldung!$J$47,(Anmeldung!$B$24&amp;": "&amp;Anmeldung!$D$24&amp;", "&amp;Anmeldung!$E$24&amp;" / "&amp;Anmeldung!$G$24&amp;" / "&amp;Anmeldung!$J$24)&lt;&gt;Anmeldung!$O$47),Anmeldung!$B$24&amp;": "&amp;Anmeldung!$D$24&amp;", "&amp;Anmeldung!$E$24&amp;" / "&amp;Anmeldung!$G$24&amp;" / "&amp;Anmeldung!$J$24,"")</f>
        <v/>
      </c>
      <c r="IB11" t="str">
        <f>IF(AND(17&lt;&gt;40,Anmeldung!$D$24&lt;&gt;"",Anmeldung!$G$24&lt;&gt;Anmeldung!$G$47,(Anmeldung!$B$24&amp;": "&amp;Anmeldung!$D$24&amp;", "&amp;Anmeldung!$E$24&amp;" / "&amp;Anmeldung!$G$24&amp;" / "&amp;Anmeldung!$J$24)&lt;&gt;Anmeldung!$S$47),Anmeldung!$B$24&amp;": "&amp;Anmeldung!$D$24&amp;", "&amp;Anmeldung!$E$24&amp;" / "&amp;Anmeldung!$G$24&amp;" / "&amp;Anmeldung!$J$24,"")</f>
        <v/>
      </c>
      <c r="IC11" t="str">
        <f>IF(AND(17&lt;&gt;40,Anmeldung!$D$24&lt;&gt;"",(Anmeldung!$B$24&amp;": "&amp;Anmeldung!$D$24&amp;", "&amp;Anmeldung!$E$24&amp;" / "&amp;Anmeldung!$G$24&amp;" / "&amp;Anmeldung!$J$24)&lt;&gt;Anmeldung!$R$47),Anmeldung!$B$24&amp;": "&amp;Anmeldung!$D$24&amp;", "&amp;Anmeldung!$E$24&amp;" / "&amp;Anmeldung!$G$24&amp;" / "&amp;Anmeldung!$J$24,"")</f>
        <v/>
      </c>
      <c r="ID11" t="str">
        <f>IF(AND(16&lt;&gt;39,Anmeldung!$D$24&lt;&gt;"",Anmeldung!$U$24="Ja",Anmeldung!$G$24=Anmeldung!$G$47,Anmeldung!$J$24=Anmeldung!$J$47),Anmeldung!$B$24&amp;": "&amp;Anmeldung!$D$24&amp;", "&amp;Anmeldung!$E$24&amp;" / "&amp;Anmeldung!$G$24&amp;" / "&amp;Anmeldung!$J$24,"")</f>
        <v/>
      </c>
    </row>
    <row r="12" spans="1:238" ht="14.25" customHeight="1" x14ac:dyDescent="0.3">
      <c r="A12" t="str">
        <f>IF(AND(18&lt;&gt;11,Anmeldung!$D$25&lt;&gt;"",Anmeldung!$G$25=Anmeldung!$G$18,Anmeldung!$J$25=Anmeldung!$J$18),Anmeldung!$B$25&amp;": "&amp;Anmeldung!$D$25&amp;", "&amp;Anmeldung!$E$25&amp;" / "&amp;Anmeldung!$G$25&amp;" / "&amp;Anmeldung!$J$25,"")</f>
        <v/>
      </c>
      <c r="B12" t="str">
        <f>IF(AND(18&lt;&gt;11,Anmeldung!$D$25&lt;&gt;"",Anmeldung!$G$25=Anmeldung!$G$18,Anmeldung!$J$25=Anmeldung!$J$18,(Anmeldung!$B$25&amp;": "&amp;Anmeldung!$D$25&amp;", "&amp;Anmeldung!$E$25&amp;" / "&amp;Anmeldung!$G$25&amp;" / "&amp;Anmeldung!$J$25)&lt;&gt;Anmeldung!$P$18),Anmeldung!$B$25&amp;": "&amp;Anmeldung!$D$25&amp;", "&amp;Anmeldung!$E$25&amp;" / "&amp;Anmeldung!$G$25&amp;" / "&amp;Anmeldung!$J$25,"")</f>
        <v/>
      </c>
      <c r="C12" t="str">
        <f>IF(AND(18&lt;&gt;11,Anmeldung!$D$25&lt;&gt;"",Anmeldung!$G$25=Anmeldung!$G$18,Anmeldung!$J$25=Anmeldung!$J$18,(Anmeldung!$B$25&amp;": "&amp;Anmeldung!$D$25&amp;", "&amp;Anmeldung!$E$25&amp;" / "&amp;Anmeldung!$G$25&amp;" / "&amp;Anmeldung!$J$25)&lt;&gt;Anmeldung!$O$18),Anmeldung!$B$25&amp;": "&amp;Anmeldung!$D$25&amp;", "&amp;Anmeldung!$E$25&amp;" / "&amp;Anmeldung!$G$25&amp;" / "&amp;Anmeldung!$J$25,"")</f>
        <v/>
      </c>
      <c r="D12" t="str">
        <f>IF(AND(18&lt;&gt;11,Anmeldung!$D$25&lt;&gt;"",Anmeldung!$G$25&lt;&gt;Anmeldung!$G$18,(Anmeldung!$B$25&amp;": "&amp;Anmeldung!$D$25&amp;", "&amp;Anmeldung!$E$25&amp;" / "&amp;Anmeldung!$G$25&amp;" / "&amp;Anmeldung!$J$25)&lt;&gt;Anmeldung!$S$18),Anmeldung!$B$25&amp;": "&amp;Anmeldung!$D$25&amp;", "&amp;Anmeldung!$E$25&amp;" / "&amp;Anmeldung!$G$25&amp;" / "&amp;Anmeldung!$J$25,"")</f>
        <v/>
      </c>
      <c r="E12" t="str">
        <f>IF(AND(18&lt;&gt;11,Anmeldung!$D$25&lt;&gt;"",(Anmeldung!$B$25&amp;": "&amp;Anmeldung!$D$25&amp;", "&amp;Anmeldung!$E$25&amp;" / "&amp;Anmeldung!$G$25&amp;" / "&amp;Anmeldung!$J$25)&lt;&gt;Anmeldung!$R$18),Anmeldung!$B$25&amp;": "&amp;Anmeldung!$D$25&amp;", "&amp;Anmeldung!$E$25&amp;" / "&amp;Anmeldung!$G$25&amp;" / "&amp;Anmeldung!$J$25,"")</f>
        <v/>
      </c>
      <c r="F12" t="str">
        <f>IF(AND(17&lt;&gt;10,Anmeldung!$D$25&lt;&gt;"",Anmeldung!$U$25="Ja",Anmeldung!$G$25=Anmeldung!$G$18,Anmeldung!$J$25=Anmeldung!$J$18),Anmeldung!$B$25&amp;": "&amp;Anmeldung!$D$25&amp;", "&amp;Anmeldung!$E$25&amp;" / "&amp;Anmeldung!$G$25&amp;" / "&amp;Anmeldung!$J$25,"")</f>
        <v/>
      </c>
      <c r="I12" t="str">
        <f>IF(AND(18&lt;&gt;12,Anmeldung!$D$25&lt;&gt;"",Anmeldung!$G$25=Anmeldung!$G$19,Anmeldung!$J$25=Anmeldung!$J$19),Anmeldung!$B$25&amp;": "&amp;Anmeldung!$D$25&amp;", "&amp;Anmeldung!$E$25&amp;" / "&amp;Anmeldung!$G$25&amp;" / "&amp;Anmeldung!$J$25,"")</f>
        <v/>
      </c>
      <c r="J12" t="str">
        <f>IF(AND(18&lt;&gt;12,Anmeldung!$D$25&lt;&gt;"",Anmeldung!$G$25=Anmeldung!$G$19,Anmeldung!$J$25=Anmeldung!$J$19,(Anmeldung!$B$25&amp;": "&amp;Anmeldung!$D$25&amp;", "&amp;Anmeldung!$E$25&amp;" / "&amp;Anmeldung!$G$25&amp;" / "&amp;Anmeldung!$J$25)&lt;&gt;Anmeldung!$P$19),Anmeldung!$B$25&amp;": "&amp;Anmeldung!$D$25&amp;", "&amp;Anmeldung!$E$25&amp;" / "&amp;Anmeldung!$G$25&amp;" / "&amp;Anmeldung!$J$25,"")</f>
        <v/>
      </c>
      <c r="K12" t="str">
        <f>IF(AND(18&lt;&gt;12,Anmeldung!$D$25&lt;&gt;"",Anmeldung!$G$25=Anmeldung!$G$19,Anmeldung!$J$25=Anmeldung!$J$19,(Anmeldung!$B$25&amp;": "&amp;Anmeldung!$D$25&amp;", "&amp;Anmeldung!$E$25&amp;" / "&amp;Anmeldung!$G$25&amp;" / "&amp;Anmeldung!$J$25)&lt;&gt;Anmeldung!$O$19),Anmeldung!$B$25&amp;": "&amp;Anmeldung!$D$25&amp;", "&amp;Anmeldung!$E$25&amp;" / "&amp;Anmeldung!$G$25&amp;" / "&amp;Anmeldung!$J$25,"")</f>
        <v/>
      </c>
      <c r="L12" t="str">
        <f>IF(AND(18&lt;&gt;12,Anmeldung!$D$25&lt;&gt;"",Anmeldung!$G$25&lt;&gt;Anmeldung!$G$19,(Anmeldung!$B$25&amp;": "&amp;Anmeldung!$D$25&amp;", "&amp;Anmeldung!$E$25&amp;" / "&amp;Anmeldung!$G$25&amp;" / "&amp;Anmeldung!$J$25)&lt;&gt;Anmeldung!$S$19),Anmeldung!$B$25&amp;": "&amp;Anmeldung!$D$25&amp;", "&amp;Anmeldung!$E$25&amp;" / "&amp;Anmeldung!$G$25&amp;" / "&amp;Anmeldung!$J$25,"")</f>
        <v/>
      </c>
      <c r="M12" t="str">
        <f>IF(AND(18&lt;&gt;12,Anmeldung!$D$25&lt;&gt;"",(Anmeldung!$B$25&amp;": "&amp;Anmeldung!$D$25&amp;", "&amp;Anmeldung!$E$25&amp;" / "&amp;Anmeldung!$G$25&amp;" / "&amp;Anmeldung!$J$25)&lt;&gt;Anmeldung!$R$19),Anmeldung!$B$25&amp;": "&amp;Anmeldung!$D$25&amp;", "&amp;Anmeldung!$E$25&amp;" / "&amp;Anmeldung!$G$25&amp;" / "&amp;Anmeldung!$J$25,"")</f>
        <v/>
      </c>
      <c r="N12" t="str">
        <f>IF(AND(17&lt;&gt;11,Anmeldung!$D$25&lt;&gt;"",Anmeldung!$U$25="Ja",Anmeldung!$G$25=Anmeldung!$G$19,Anmeldung!$J$25=Anmeldung!$J$19),Anmeldung!$B$25&amp;": "&amp;Anmeldung!$D$25&amp;", "&amp;Anmeldung!$E$25&amp;" / "&amp;Anmeldung!$G$25&amp;" / "&amp;Anmeldung!$J$25,"")</f>
        <v/>
      </c>
      <c r="Q12" t="str">
        <f>IF(AND(18&lt;&gt;13,Anmeldung!$D$25&lt;&gt;"",Anmeldung!$G$25=Anmeldung!$G$20,Anmeldung!$J$25=Anmeldung!$J$20),Anmeldung!$B$25&amp;": "&amp;Anmeldung!$D$25&amp;", "&amp;Anmeldung!$E$25&amp;" / "&amp;Anmeldung!$G$25&amp;" / "&amp;Anmeldung!$J$25,"")</f>
        <v/>
      </c>
      <c r="R12" t="str">
        <f>IF(AND(18&lt;&gt;13,Anmeldung!$D$25&lt;&gt;"",Anmeldung!$G$25=Anmeldung!$G$20,Anmeldung!$J$25=Anmeldung!$J$20,(Anmeldung!$B$25&amp;": "&amp;Anmeldung!$D$25&amp;", "&amp;Anmeldung!$E$25&amp;" / "&amp;Anmeldung!$G$25&amp;" / "&amp;Anmeldung!$J$25)&lt;&gt;Anmeldung!$P$20),Anmeldung!$B$25&amp;": "&amp;Anmeldung!$D$25&amp;", "&amp;Anmeldung!$E$25&amp;" / "&amp;Anmeldung!$G$25&amp;" / "&amp;Anmeldung!$J$25,"")</f>
        <v/>
      </c>
      <c r="S12" t="str">
        <f>IF(AND(18&lt;&gt;13,Anmeldung!$D$25&lt;&gt;"",Anmeldung!$G$25=Anmeldung!$G$20,Anmeldung!$J$25=Anmeldung!$J$20,(Anmeldung!$B$25&amp;": "&amp;Anmeldung!$D$25&amp;", "&amp;Anmeldung!$E$25&amp;" / "&amp;Anmeldung!$G$25&amp;" / "&amp;Anmeldung!$J$25)&lt;&gt;Anmeldung!$O$20),Anmeldung!$B$25&amp;": "&amp;Anmeldung!$D$25&amp;", "&amp;Anmeldung!$E$25&amp;" / "&amp;Anmeldung!$G$25&amp;" / "&amp;Anmeldung!$J$25,"")</f>
        <v/>
      </c>
      <c r="T12" t="str">
        <f>IF(AND(18&lt;&gt;13,Anmeldung!$D$25&lt;&gt;"",Anmeldung!$G$25&lt;&gt;Anmeldung!$G$20,(Anmeldung!$B$25&amp;": "&amp;Anmeldung!$D$25&amp;", "&amp;Anmeldung!$E$25&amp;" / "&amp;Anmeldung!$G$25&amp;" / "&amp;Anmeldung!$J$25)&lt;&gt;Anmeldung!$S$20),Anmeldung!$B$25&amp;": "&amp;Anmeldung!$D$25&amp;", "&amp;Anmeldung!$E$25&amp;" / "&amp;Anmeldung!$G$25&amp;" / "&amp;Anmeldung!$J$25,"")</f>
        <v/>
      </c>
      <c r="U12" t="str">
        <f>IF(AND(18&lt;&gt;13,Anmeldung!$D$25&lt;&gt;"",(Anmeldung!$B$25&amp;": "&amp;Anmeldung!$D$25&amp;", "&amp;Anmeldung!$E$25&amp;" / "&amp;Anmeldung!$G$25&amp;" / "&amp;Anmeldung!$J$25)&lt;&gt;Anmeldung!$R$20),Anmeldung!$B$25&amp;": "&amp;Anmeldung!$D$25&amp;", "&amp;Anmeldung!$E$25&amp;" / "&amp;Anmeldung!$G$25&amp;" / "&amp;Anmeldung!$J$25,"")</f>
        <v/>
      </c>
      <c r="V12" t="str">
        <f>IF(AND(17&lt;&gt;12,Anmeldung!$D$25&lt;&gt;"",Anmeldung!$U$25="Ja",Anmeldung!$G$25=Anmeldung!$G$20,Anmeldung!$J$25=Anmeldung!$J$20),Anmeldung!$B$25&amp;": "&amp;Anmeldung!$D$25&amp;", "&amp;Anmeldung!$E$25&amp;" / "&amp;Anmeldung!$G$25&amp;" / "&amp;Anmeldung!$J$25,"")</f>
        <v/>
      </c>
      <c r="Y12" t="str">
        <f>IF(AND(18&lt;&gt;14,Anmeldung!$D$25&lt;&gt;"",Anmeldung!$G$25=Anmeldung!$G$21,Anmeldung!$J$25=Anmeldung!$J$21),Anmeldung!$B$25&amp;": "&amp;Anmeldung!$D$25&amp;", "&amp;Anmeldung!$E$25&amp;" / "&amp;Anmeldung!$G$25&amp;" / "&amp;Anmeldung!$J$25,"")</f>
        <v/>
      </c>
      <c r="Z12" t="str">
        <f>IF(AND(18&lt;&gt;14,Anmeldung!$D$25&lt;&gt;"",Anmeldung!$G$25=Anmeldung!$G$21,Anmeldung!$J$25=Anmeldung!$J$21,(Anmeldung!$B$25&amp;": "&amp;Anmeldung!$D$25&amp;", "&amp;Anmeldung!$E$25&amp;" / "&amp;Anmeldung!$G$25&amp;" / "&amp;Anmeldung!$J$25)&lt;&gt;Anmeldung!$P$21),Anmeldung!$B$25&amp;": "&amp;Anmeldung!$D$25&amp;", "&amp;Anmeldung!$E$25&amp;" / "&amp;Anmeldung!$G$25&amp;" / "&amp;Anmeldung!$J$25,"")</f>
        <v/>
      </c>
      <c r="AA12" t="str">
        <f>IF(AND(18&lt;&gt;14,Anmeldung!$D$25&lt;&gt;"",Anmeldung!$G$25=Anmeldung!$G$21,Anmeldung!$J$25=Anmeldung!$J$21,(Anmeldung!$B$25&amp;": "&amp;Anmeldung!$D$25&amp;", "&amp;Anmeldung!$E$25&amp;" / "&amp;Anmeldung!$G$25&amp;" / "&amp;Anmeldung!$J$25)&lt;&gt;Anmeldung!$O$21),Anmeldung!$B$25&amp;": "&amp;Anmeldung!$D$25&amp;", "&amp;Anmeldung!$E$25&amp;" / "&amp;Anmeldung!$G$25&amp;" / "&amp;Anmeldung!$J$25,"")</f>
        <v/>
      </c>
      <c r="AB12" t="str">
        <f>IF(AND(18&lt;&gt;14,Anmeldung!$D$25&lt;&gt;"",Anmeldung!$G$25&lt;&gt;Anmeldung!$G$21,(Anmeldung!$B$25&amp;": "&amp;Anmeldung!$D$25&amp;", "&amp;Anmeldung!$E$25&amp;" / "&amp;Anmeldung!$G$25&amp;" / "&amp;Anmeldung!$J$25)&lt;&gt;Anmeldung!$S$21),Anmeldung!$B$25&amp;": "&amp;Anmeldung!$D$25&amp;", "&amp;Anmeldung!$E$25&amp;" / "&amp;Anmeldung!$G$25&amp;" / "&amp;Anmeldung!$J$25,"")</f>
        <v/>
      </c>
      <c r="AC12" t="str">
        <f>IF(AND(18&lt;&gt;14,Anmeldung!$D$25&lt;&gt;"",(Anmeldung!$B$25&amp;": "&amp;Anmeldung!$D$25&amp;", "&amp;Anmeldung!$E$25&amp;" / "&amp;Anmeldung!$G$25&amp;" / "&amp;Anmeldung!$J$25)&lt;&gt;Anmeldung!$R$21),Anmeldung!$B$25&amp;": "&amp;Anmeldung!$D$25&amp;", "&amp;Anmeldung!$E$25&amp;" / "&amp;Anmeldung!$G$25&amp;" / "&amp;Anmeldung!$J$25,"")</f>
        <v/>
      </c>
      <c r="AD12" t="str">
        <f>IF(AND(17&lt;&gt;13,Anmeldung!$D$25&lt;&gt;"",Anmeldung!$U$25="Ja",Anmeldung!$G$25=Anmeldung!$G$21,Anmeldung!$J$25=Anmeldung!$J$21),Anmeldung!$B$25&amp;": "&amp;Anmeldung!$D$25&amp;", "&amp;Anmeldung!$E$25&amp;" / "&amp;Anmeldung!$G$25&amp;" / "&amp;Anmeldung!$J$25,"")</f>
        <v/>
      </c>
      <c r="AG12" t="str">
        <f>IF(AND(18&lt;&gt;15,Anmeldung!$D$25&lt;&gt;"",Anmeldung!$G$25=Anmeldung!$G$22,Anmeldung!$J$25=Anmeldung!$J$22),Anmeldung!$B$25&amp;": "&amp;Anmeldung!$D$25&amp;", "&amp;Anmeldung!$E$25&amp;" / "&amp;Anmeldung!$G$25&amp;" / "&amp;Anmeldung!$J$25,"")</f>
        <v/>
      </c>
      <c r="AH12" t="str">
        <f>IF(AND(18&lt;&gt;15,Anmeldung!$D$25&lt;&gt;"",Anmeldung!$G$25=Anmeldung!$G$22,Anmeldung!$J$25=Anmeldung!$J$22,(Anmeldung!$B$25&amp;": "&amp;Anmeldung!$D$25&amp;", "&amp;Anmeldung!$E$25&amp;" / "&amp;Anmeldung!$G$25&amp;" / "&amp;Anmeldung!$J$25)&lt;&gt;Anmeldung!$P$22),Anmeldung!$B$25&amp;": "&amp;Anmeldung!$D$25&amp;", "&amp;Anmeldung!$E$25&amp;" / "&amp;Anmeldung!$G$25&amp;" / "&amp;Anmeldung!$J$25,"")</f>
        <v/>
      </c>
      <c r="AI12" t="str">
        <f>IF(AND(18&lt;&gt;15,Anmeldung!$D$25&lt;&gt;"",Anmeldung!$G$25=Anmeldung!$G$22,Anmeldung!$J$25=Anmeldung!$J$22,(Anmeldung!$B$25&amp;": "&amp;Anmeldung!$D$25&amp;", "&amp;Anmeldung!$E$25&amp;" / "&amp;Anmeldung!$G$25&amp;" / "&amp;Anmeldung!$J$25)&lt;&gt;Anmeldung!$O$22),Anmeldung!$B$25&amp;": "&amp;Anmeldung!$D$25&amp;", "&amp;Anmeldung!$E$25&amp;" / "&amp;Anmeldung!$G$25&amp;" / "&amp;Anmeldung!$J$25,"")</f>
        <v/>
      </c>
      <c r="AJ12" t="str">
        <f>IF(AND(18&lt;&gt;15,Anmeldung!$D$25&lt;&gt;"",Anmeldung!$G$25&lt;&gt;Anmeldung!$G$22,(Anmeldung!$B$25&amp;": "&amp;Anmeldung!$D$25&amp;", "&amp;Anmeldung!$E$25&amp;" / "&amp;Anmeldung!$G$25&amp;" / "&amp;Anmeldung!$J$25)&lt;&gt;Anmeldung!$S$22),Anmeldung!$B$25&amp;": "&amp;Anmeldung!$D$25&amp;", "&amp;Anmeldung!$E$25&amp;" / "&amp;Anmeldung!$G$25&amp;" / "&amp;Anmeldung!$J$25,"")</f>
        <v/>
      </c>
      <c r="AK12" t="str">
        <f>IF(AND(18&lt;&gt;15,Anmeldung!$D$25&lt;&gt;"",(Anmeldung!$B$25&amp;": "&amp;Anmeldung!$D$25&amp;", "&amp;Anmeldung!$E$25&amp;" / "&amp;Anmeldung!$G$25&amp;" / "&amp;Anmeldung!$J$25)&lt;&gt;Anmeldung!$R$22),Anmeldung!$B$25&amp;": "&amp;Anmeldung!$D$25&amp;", "&amp;Anmeldung!$E$25&amp;" / "&amp;Anmeldung!$G$25&amp;" / "&amp;Anmeldung!$J$25,"")</f>
        <v/>
      </c>
      <c r="AL12" t="str">
        <f>IF(AND(17&lt;&gt;14,Anmeldung!$D$25&lt;&gt;"",Anmeldung!$U$25="Ja",Anmeldung!$G$25=Anmeldung!$G$22,Anmeldung!$J$25=Anmeldung!$J$22),Anmeldung!$B$25&amp;": "&amp;Anmeldung!$D$25&amp;", "&amp;Anmeldung!$E$25&amp;" / "&amp;Anmeldung!$G$25&amp;" / "&amp;Anmeldung!$J$25,"")</f>
        <v/>
      </c>
      <c r="AO12" t="str">
        <f>IF(AND(18&lt;&gt;16,Anmeldung!$D$25&lt;&gt;"",Anmeldung!$G$25=Anmeldung!$G$23,Anmeldung!$J$25=Anmeldung!$J$23),Anmeldung!$B$25&amp;": "&amp;Anmeldung!$D$25&amp;", "&amp;Anmeldung!$E$25&amp;" / "&amp;Anmeldung!$G$25&amp;" / "&amp;Anmeldung!$J$25,"")</f>
        <v/>
      </c>
      <c r="AP12" t="str">
        <f>IF(AND(18&lt;&gt;16,Anmeldung!$D$25&lt;&gt;"",Anmeldung!$G$25=Anmeldung!$G$23,Anmeldung!$J$25=Anmeldung!$J$23,(Anmeldung!$B$25&amp;": "&amp;Anmeldung!$D$25&amp;", "&amp;Anmeldung!$E$25&amp;" / "&amp;Anmeldung!$G$25&amp;" / "&amp;Anmeldung!$J$25)&lt;&gt;Anmeldung!$P$23),Anmeldung!$B$25&amp;": "&amp;Anmeldung!$D$25&amp;", "&amp;Anmeldung!$E$25&amp;" / "&amp;Anmeldung!$G$25&amp;" / "&amp;Anmeldung!$J$25,"")</f>
        <v/>
      </c>
      <c r="AQ12" t="str">
        <f>IF(AND(18&lt;&gt;16,Anmeldung!$D$25&lt;&gt;"",Anmeldung!$G$25=Anmeldung!$G$23,Anmeldung!$J$25=Anmeldung!$J$23,(Anmeldung!$B$25&amp;": "&amp;Anmeldung!$D$25&amp;", "&amp;Anmeldung!$E$25&amp;" / "&amp;Anmeldung!$G$25&amp;" / "&amp;Anmeldung!$J$25)&lt;&gt;Anmeldung!$O$23),Anmeldung!$B$25&amp;": "&amp;Anmeldung!$D$25&amp;", "&amp;Anmeldung!$E$25&amp;" / "&amp;Anmeldung!$G$25&amp;" / "&amp;Anmeldung!$J$25,"")</f>
        <v/>
      </c>
      <c r="AR12" t="str">
        <f>IF(AND(18&lt;&gt;16,Anmeldung!$D$25&lt;&gt;"",Anmeldung!$G$25&lt;&gt;Anmeldung!$G$23,(Anmeldung!$B$25&amp;": "&amp;Anmeldung!$D$25&amp;", "&amp;Anmeldung!$E$25&amp;" / "&amp;Anmeldung!$G$25&amp;" / "&amp;Anmeldung!$J$25)&lt;&gt;Anmeldung!$S$23),Anmeldung!$B$25&amp;": "&amp;Anmeldung!$D$25&amp;", "&amp;Anmeldung!$E$25&amp;" / "&amp;Anmeldung!$G$25&amp;" / "&amp;Anmeldung!$J$25,"")</f>
        <v/>
      </c>
      <c r="AS12" t="str">
        <f>IF(AND(18&lt;&gt;16,Anmeldung!$D$25&lt;&gt;"",(Anmeldung!$B$25&amp;": "&amp;Anmeldung!$D$25&amp;", "&amp;Anmeldung!$E$25&amp;" / "&amp;Anmeldung!$G$25&amp;" / "&amp;Anmeldung!$J$25)&lt;&gt;Anmeldung!$R$23),Anmeldung!$B$25&amp;": "&amp;Anmeldung!$D$25&amp;", "&amp;Anmeldung!$E$25&amp;" / "&amp;Anmeldung!$G$25&amp;" / "&amp;Anmeldung!$J$25,"")</f>
        <v/>
      </c>
      <c r="AT12" t="str">
        <f>IF(AND(17&lt;&gt;15,Anmeldung!$D$25&lt;&gt;"",Anmeldung!$U$25="Ja",Anmeldung!$G$25=Anmeldung!$G$23,Anmeldung!$J$25=Anmeldung!$J$23),Anmeldung!$B$25&amp;": "&amp;Anmeldung!$D$25&amp;", "&amp;Anmeldung!$E$25&amp;" / "&amp;Anmeldung!$G$25&amp;" / "&amp;Anmeldung!$J$25,"")</f>
        <v/>
      </c>
      <c r="AW12" t="str">
        <f>IF(AND(18&lt;&gt;17,Anmeldung!$D$25&lt;&gt;"",Anmeldung!$G$25=Anmeldung!$G$24,Anmeldung!$J$25=Anmeldung!$J$24),Anmeldung!$B$25&amp;": "&amp;Anmeldung!$D$25&amp;", "&amp;Anmeldung!$E$25&amp;" / "&amp;Anmeldung!$G$25&amp;" / "&amp;Anmeldung!$J$25,"")</f>
        <v/>
      </c>
      <c r="AX12" t="str">
        <f>IF(AND(18&lt;&gt;17,Anmeldung!$D$25&lt;&gt;"",Anmeldung!$G$25=Anmeldung!$G$24,Anmeldung!$J$25=Anmeldung!$J$24,(Anmeldung!$B$25&amp;": "&amp;Anmeldung!$D$25&amp;", "&amp;Anmeldung!$E$25&amp;" / "&amp;Anmeldung!$G$25&amp;" / "&amp;Anmeldung!$J$25)&lt;&gt;Anmeldung!$P$24),Anmeldung!$B$25&amp;": "&amp;Anmeldung!$D$25&amp;", "&amp;Anmeldung!$E$25&amp;" / "&amp;Anmeldung!$G$25&amp;" / "&amp;Anmeldung!$J$25,"")</f>
        <v/>
      </c>
      <c r="AY12" t="str">
        <f>IF(AND(18&lt;&gt;17,Anmeldung!$D$25&lt;&gt;"",Anmeldung!$G$25=Anmeldung!$G$24,Anmeldung!$J$25=Anmeldung!$J$24,(Anmeldung!$B$25&amp;": "&amp;Anmeldung!$D$25&amp;", "&amp;Anmeldung!$E$25&amp;" / "&amp;Anmeldung!$G$25&amp;" / "&amp;Anmeldung!$J$25)&lt;&gt;Anmeldung!$O$24),Anmeldung!$B$25&amp;": "&amp;Anmeldung!$D$25&amp;", "&amp;Anmeldung!$E$25&amp;" / "&amp;Anmeldung!$G$25&amp;" / "&amp;Anmeldung!$J$25,"")</f>
        <v/>
      </c>
      <c r="AZ12" t="str">
        <f>IF(AND(18&lt;&gt;17,Anmeldung!$D$25&lt;&gt;"",Anmeldung!$G$25&lt;&gt;Anmeldung!$G$24,(Anmeldung!$B$25&amp;": "&amp;Anmeldung!$D$25&amp;", "&amp;Anmeldung!$E$25&amp;" / "&amp;Anmeldung!$G$25&amp;" / "&amp;Anmeldung!$J$25)&lt;&gt;Anmeldung!$S$24),Anmeldung!$B$25&amp;": "&amp;Anmeldung!$D$25&amp;", "&amp;Anmeldung!$E$25&amp;" / "&amp;Anmeldung!$G$25&amp;" / "&amp;Anmeldung!$J$25,"")</f>
        <v/>
      </c>
      <c r="BA12" t="str">
        <f>IF(AND(18&lt;&gt;17,Anmeldung!$D$25&lt;&gt;"",(Anmeldung!$B$25&amp;": "&amp;Anmeldung!$D$25&amp;", "&amp;Anmeldung!$E$25&amp;" / "&amp;Anmeldung!$G$25&amp;" / "&amp;Anmeldung!$J$25)&lt;&gt;Anmeldung!$R$24),Anmeldung!$B$25&amp;": "&amp;Anmeldung!$D$25&amp;", "&amp;Anmeldung!$E$25&amp;" / "&amp;Anmeldung!$G$25&amp;" / "&amp;Anmeldung!$J$25,"")</f>
        <v/>
      </c>
      <c r="BB12" t="str">
        <f>IF(AND(17&lt;&gt;16,Anmeldung!$D$25&lt;&gt;"",Anmeldung!$U$25="Ja",Anmeldung!$G$25=Anmeldung!$G$24,Anmeldung!$J$25=Anmeldung!$J$24),Anmeldung!$B$25&amp;": "&amp;Anmeldung!$D$25&amp;", "&amp;Anmeldung!$E$25&amp;" / "&amp;Anmeldung!$G$25&amp;" / "&amp;Anmeldung!$J$25,"")</f>
        <v/>
      </c>
      <c r="BE12" t="str">
        <f>IF(AND(18&lt;&gt;18,Anmeldung!$D$25&lt;&gt;"",Anmeldung!$G$25=Anmeldung!$G$25,Anmeldung!$J$25=Anmeldung!$J$25),Anmeldung!$B$25&amp;": "&amp;Anmeldung!$D$25&amp;", "&amp;Anmeldung!$E$25&amp;" / "&amp;Anmeldung!$G$25&amp;" / "&amp;Anmeldung!$J$25,"")</f>
        <v/>
      </c>
      <c r="BF12" t="str">
        <f>IF(AND(18&lt;&gt;18,Anmeldung!$D$25&lt;&gt;"",Anmeldung!$G$25=Anmeldung!$G$25,Anmeldung!$J$25=Anmeldung!$J$25,(Anmeldung!$B$25&amp;": "&amp;Anmeldung!$D$25&amp;", "&amp;Anmeldung!$E$25&amp;" / "&amp;Anmeldung!$G$25&amp;" / "&amp;Anmeldung!$J$25)&lt;&gt;Anmeldung!$P$25),Anmeldung!$B$25&amp;": "&amp;Anmeldung!$D$25&amp;", "&amp;Anmeldung!$E$25&amp;" / "&amp;Anmeldung!$G$25&amp;" / "&amp;Anmeldung!$J$25,"")</f>
        <v/>
      </c>
      <c r="BG12" t="str">
        <f>IF(AND(18&lt;&gt;18,Anmeldung!$D$25&lt;&gt;"",Anmeldung!$G$25=Anmeldung!$G$25,Anmeldung!$J$25=Anmeldung!$J$25,(Anmeldung!$B$25&amp;": "&amp;Anmeldung!$D$25&amp;", "&amp;Anmeldung!$E$25&amp;" / "&amp;Anmeldung!$G$25&amp;" / "&amp;Anmeldung!$J$25)&lt;&gt;Anmeldung!$O$25),Anmeldung!$B$25&amp;": "&amp;Anmeldung!$D$25&amp;", "&amp;Anmeldung!$E$25&amp;" / "&amp;Anmeldung!$G$25&amp;" / "&amp;Anmeldung!$J$25,"")</f>
        <v/>
      </c>
      <c r="BH12" t="str">
        <f>IF(AND(18&lt;&gt;18,Anmeldung!$D$25&lt;&gt;"",Anmeldung!$G$25&lt;&gt;Anmeldung!$G$25,(Anmeldung!$B$25&amp;": "&amp;Anmeldung!$D$25&amp;", "&amp;Anmeldung!$E$25&amp;" / "&amp;Anmeldung!$G$25&amp;" / "&amp;Anmeldung!$J$25)&lt;&gt;Anmeldung!$S$25),Anmeldung!$B$25&amp;": "&amp;Anmeldung!$D$25&amp;", "&amp;Anmeldung!$E$25&amp;" / "&amp;Anmeldung!$G$25&amp;" / "&amp;Anmeldung!$J$25,"")</f>
        <v/>
      </c>
      <c r="BI12" t="str">
        <f>IF(AND(18&lt;&gt;18,Anmeldung!$D$25&lt;&gt;"",(Anmeldung!$B$25&amp;": "&amp;Anmeldung!$D$25&amp;", "&amp;Anmeldung!$E$25&amp;" / "&amp;Anmeldung!$G$25&amp;" / "&amp;Anmeldung!$J$25)&lt;&gt;Anmeldung!$R$25),Anmeldung!$B$25&amp;": "&amp;Anmeldung!$D$25&amp;", "&amp;Anmeldung!$E$25&amp;" / "&amp;Anmeldung!$G$25&amp;" / "&amp;Anmeldung!$J$25,"")</f>
        <v/>
      </c>
      <c r="BJ12" t="str">
        <f>IF(AND(17&lt;&gt;17,Anmeldung!$D$25&lt;&gt;"",Anmeldung!$U$25="Ja",Anmeldung!$G$25=Anmeldung!$G$25,Anmeldung!$J$25=Anmeldung!$J$25),Anmeldung!$B$25&amp;": "&amp;Anmeldung!$D$25&amp;", "&amp;Anmeldung!$E$25&amp;" / "&amp;Anmeldung!$G$25&amp;" / "&amp;Anmeldung!$J$25,"")</f>
        <v/>
      </c>
      <c r="BM12" t="str">
        <f>IF(AND(18&lt;&gt;19,Anmeldung!$D$25&lt;&gt;"",Anmeldung!$G$25=Anmeldung!$G$26,Anmeldung!$J$25=Anmeldung!$J$26),Anmeldung!$B$25&amp;": "&amp;Anmeldung!$D$25&amp;", "&amp;Anmeldung!$E$25&amp;" / "&amp;Anmeldung!$G$25&amp;" / "&amp;Anmeldung!$J$25,"")</f>
        <v/>
      </c>
      <c r="BN12" t="str">
        <f>IF(AND(18&lt;&gt;19,Anmeldung!$D$25&lt;&gt;"",Anmeldung!$G$25=Anmeldung!$G$26,Anmeldung!$J$25=Anmeldung!$J$26,(Anmeldung!$B$25&amp;": "&amp;Anmeldung!$D$25&amp;", "&amp;Anmeldung!$E$25&amp;" / "&amp;Anmeldung!$G$25&amp;" / "&amp;Anmeldung!$J$25)&lt;&gt;Anmeldung!$P$26),Anmeldung!$B$25&amp;": "&amp;Anmeldung!$D$25&amp;", "&amp;Anmeldung!$E$25&amp;" / "&amp;Anmeldung!$G$25&amp;" / "&amp;Anmeldung!$J$25,"")</f>
        <v/>
      </c>
      <c r="BO12" t="str">
        <f>IF(AND(18&lt;&gt;19,Anmeldung!$D$25&lt;&gt;"",Anmeldung!$G$25=Anmeldung!$G$26,Anmeldung!$J$25=Anmeldung!$J$26,(Anmeldung!$B$25&amp;": "&amp;Anmeldung!$D$25&amp;", "&amp;Anmeldung!$E$25&amp;" / "&amp;Anmeldung!$G$25&amp;" / "&amp;Anmeldung!$J$25)&lt;&gt;Anmeldung!$O$26),Anmeldung!$B$25&amp;": "&amp;Anmeldung!$D$25&amp;", "&amp;Anmeldung!$E$25&amp;" / "&amp;Anmeldung!$G$25&amp;" / "&amp;Anmeldung!$J$25,"")</f>
        <v/>
      </c>
      <c r="BP12" t="str">
        <f>IF(AND(18&lt;&gt;19,Anmeldung!$D$25&lt;&gt;"",Anmeldung!$G$25&lt;&gt;Anmeldung!$G$26,(Anmeldung!$B$25&amp;": "&amp;Anmeldung!$D$25&amp;", "&amp;Anmeldung!$E$25&amp;" / "&amp;Anmeldung!$G$25&amp;" / "&amp;Anmeldung!$J$25)&lt;&gt;Anmeldung!$S$26),Anmeldung!$B$25&amp;": "&amp;Anmeldung!$D$25&amp;", "&amp;Anmeldung!$E$25&amp;" / "&amp;Anmeldung!$G$25&amp;" / "&amp;Anmeldung!$J$25,"")</f>
        <v/>
      </c>
      <c r="BQ12" t="str">
        <f>IF(AND(18&lt;&gt;19,Anmeldung!$D$25&lt;&gt;"",(Anmeldung!$B$25&amp;": "&amp;Anmeldung!$D$25&amp;", "&amp;Anmeldung!$E$25&amp;" / "&amp;Anmeldung!$G$25&amp;" / "&amp;Anmeldung!$J$25)&lt;&gt;Anmeldung!$R$26),Anmeldung!$B$25&amp;": "&amp;Anmeldung!$D$25&amp;", "&amp;Anmeldung!$E$25&amp;" / "&amp;Anmeldung!$G$25&amp;" / "&amp;Anmeldung!$J$25,"")</f>
        <v/>
      </c>
      <c r="BR12" t="str">
        <f>IF(AND(17&lt;&gt;18,Anmeldung!$D$25&lt;&gt;"",Anmeldung!$U$25="Ja",Anmeldung!$G$25=Anmeldung!$G$26,Anmeldung!$J$25=Anmeldung!$J$26),Anmeldung!$B$25&amp;": "&amp;Anmeldung!$D$25&amp;", "&amp;Anmeldung!$E$25&amp;" / "&amp;Anmeldung!$G$25&amp;" / "&amp;Anmeldung!$J$25,"")</f>
        <v/>
      </c>
      <c r="BU12" t="str">
        <f>IF(AND(18&lt;&gt;20,Anmeldung!$D$25&lt;&gt;"",Anmeldung!$G$25=Anmeldung!$G$27,Anmeldung!$J$25=Anmeldung!$J$27),Anmeldung!$B$25&amp;": "&amp;Anmeldung!$D$25&amp;", "&amp;Anmeldung!$E$25&amp;" / "&amp;Anmeldung!$G$25&amp;" / "&amp;Anmeldung!$J$25,"")</f>
        <v/>
      </c>
      <c r="BV12" t="str">
        <f>IF(AND(18&lt;&gt;20,Anmeldung!$D$25&lt;&gt;"",Anmeldung!$G$25=Anmeldung!$G$27,Anmeldung!$J$25=Anmeldung!$J$27,(Anmeldung!$B$25&amp;": "&amp;Anmeldung!$D$25&amp;", "&amp;Anmeldung!$E$25&amp;" / "&amp;Anmeldung!$G$25&amp;" / "&amp;Anmeldung!$J$25)&lt;&gt;Anmeldung!$P$27),Anmeldung!$B$25&amp;": "&amp;Anmeldung!$D$25&amp;", "&amp;Anmeldung!$E$25&amp;" / "&amp;Anmeldung!$G$25&amp;" / "&amp;Anmeldung!$J$25,"")</f>
        <v/>
      </c>
      <c r="BW12" t="str">
        <f>IF(AND(18&lt;&gt;20,Anmeldung!$D$25&lt;&gt;"",Anmeldung!$G$25=Anmeldung!$G$27,Anmeldung!$J$25=Anmeldung!$J$27,(Anmeldung!$B$25&amp;": "&amp;Anmeldung!$D$25&amp;", "&amp;Anmeldung!$E$25&amp;" / "&amp;Anmeldung!$G$25&amp;" / "&amp;Anmeldung!$J$25)&lt;&gt;Anmeldung!$O$27),Anmeldung!$B$25&amp;": "&amp;Anmeldung!$D$25&amp;", "&amp;Anmeldung!$E$25&amp;" / "&amp;Anmeldung!$G$25&amp;" / "&amp;Anmeldung!$J$25,"")</f>
        <v/>
      </c>
      <c r="BX12" t="str">
        <f>IF(AND(18&lt;&gt;20,Anmeldung!$D$25&lt;&gt;"",Anmeldung!$G$25&lt;&gt;Anmeldung!$G$27,(Anmeldung!$B$25&amp;": "&amp;Anmeldung!$D$25&amp;", "&amp;Anmeldung!$E$25&amp;" / "&amp;Anmeldung!$G$25&amp;" / "&amp;Anmeldung!$J$25)&lt;&gt;Anmeldung!$S$27),Anmeldung!$B$25&amp;": "&amp;Anmeldung!$D$25&amp;", "&amp;Anmeldung!$E$25&amp;" / "&amp;Anmeldung!$G$25&amp;" / "&amp;Anmeldung!$J$25,"")</f>
        <v/>
      </c>
      <c r="BY12" t="str">
        <f>IF(AND(18&lt;&gt;20,Anmeldung!$D$25&lt;&gt;"",(Anmeldung!$B$25&amp;": "&amp;Anmeldung!$D$25&amp;", "&amp;Anmeldung!$E$25&amp;" / "&amp;Anmeldung!$G$25&amp;" / "&amp;Anmeldung!$J$25)&lt;&gt;Anmeldung!$R$27),Anmeldung!$B$25&amp;": "&amp;Anmeldung!$D$25&amp;", "&amp;Anmeldung!$E$25&amp;" / "&amp;Anmeldung!$G$25&amp;" / "&amp;Anmeldung!$J$25,"")</f>
        <v/>
      </c>
      <c r="BZ12" t="str">
        <f>IF(AND(17&lt;&gt;19,Anmeldung!$D$25&lt;&gt;"",Anmeldung!$U$25="Ja",Anmeldung!$G$25=Anmeldung!$G$27,Anmeldung!$J$25=Anmeldung!$J$27),Anmeldung!$B$25&amp;": "&amp;Anmeldung!$D$25&amp;", "&amp;Anmeldung!$E$25&amp;" / "&amp;Anmeldung!$G$25&amp;" / "&amp;Anmeldung!$J$25,"")</f>
        <v/>
      </c>
      <c r="CC12" t="str">
        <f>IF(AND(18&lt;&gt;21,Anmeldung!$D$25&lt;&gt;"",Anmeldung!$G$25=Anmeldung!$G$28,Anmeldung!$J$25=Anmeldung!$J$28),Anmeldung!$B$25&amp;": "&amp;Anmeldung!$D$25&amp;", "&amp;Anmeldung!$E$25&amp;" / "&amp;Anmeldung!$G$25&amp;" / "&amp;Anmeldung!$J$25,"")</f>
        <v/>
      </c>
      <c r="CD12" t="str">
        <f>IF(AND(18&lt;&gt;21,Anmeldung!$D$25&lt;&gt;"",Anmeldung!$G$25=Anmeldung!$G$28,Anmeldung!$J$25=Anmeldung!$J$28,(Anmeldung!$B$25&amp;": "&amp;Anmeldung!$D$25&amp;", "&amp;Anmeldung!$E$25&amp;" / "&amp;Anmeldung!$G$25&amp;" / "&amp;Anmeldung!$J$25)&lt;&gt;Anmeldung!$P$28),Anmeldung!$B$25&amp;": "&amp;Anmeldung!$D$25&amp;", "&amp;Anmeldung!$E$25&amp;" / "&amp;Anmeldung!$G$25&amp;" / "&amp;Anmeldung!$J$25,"")</f>
        <v/>
      </c>
      <c r="CE12" t="str">
        <f>IF(AND(18&lt;&gt;21,Anmeldung!$D$25&lt;&gt;"",Anmeldung!$G$25=Anmeldung!$G$28,Anmeldung!$J$25=Anmeldung!$J$28,(Anmeldung!$B$25&amp;": "&amp;Anmeldung!$D$25&amp;", "&amp;Anmeldung!$E$25&amp;" / "&amp;Anmeldung!$G$25&amp;" / "&amp;Anmeldung!$J$25)&lt;&gt;Anmeldung!$O$28),Anmeldung!$B$25&amp;": "&amp;Anmeldung!$D$25&amp;", "&amp;Anmeldung!$E$25&amp;" / "&amp;Anmeldung!$G$25&amp;" / "&amp;Anmeldung!$J$25,"")</f>
        <v/>
      </c>
      <c r="CF12" t="str">
        <f>IF(AND(18&lt;&gt;21,Anmeldung!$D$25&lt;&gt;"",Anmeldung!$G$25&lt;&gt;Anmeldung!$G$28,(Anmeldung!$B$25&amp;": "&amp;Anmeldung!$D$25&amp;", "&amp;Anmeldung!$E$25&amp;" / "&amp;Anmeldung!$G$25&amp;" / "&amp;Anmeldung!$J$25)&lt;&gt;Anmeldung!$S$28),Anmeldung!$B$25&amp;": "&amp;Anmeldung!$D$25&amp;", "&amp;Anmeldung!$E$25&amp;" / "&amp;Anmeldung!$G$25&amp;" / "&amp;Anmeldung!$J$25,"")</f>
        <v/>
      </c>
      <c r="CG12" t="str">
        <f>IF(AND(18&lt;&gt;21,Anmeldung!$D$25&lt;&gt;"",(Anmeldung!$B$25&amp;": "&amp;Anmeldung!$D$25&amp;", "&amp;Anmeldung!$E$25&amp;" / "&amp;Anmeldung!$G$25&amp;" / "&amp;Anmeldung!$J$25)&lt;&gt;Anmeldung!$R$28),Anmeldung!$B$25&amp;": "&amp;Anmeldung!$D$25&amp;", "&amp;Anmeldung!$E$25&amp;" / "&amp;Anmeldung!$G$25&amp;" / "&amp;Anmeldung!$J$25,"")</f>
        <v/>
      </c>
      <c r="CH12" t="str">
        <f>IF(AND(17&lt;&gt;20,Anmeldung!$D$25&lt;&gt;"",Anmeldung!$U$25="Ja",Anmeldung!$G$25=Anmeldung!$G$28,Anmeldung!$J$25=Anmeldung!$J$28),Anmeldung!$B$25&amp;": "&amp;Anmeldung!$D$25&amp;", "&amp;Anmeldung!$E$25&amp;" / "&amp;Anmeldung!$G$25&amp;" / "&amp;Anmeldung!$J$25,"")</f>
        <v/>
      </c>
      <c r="CK12" t="str">
        <f>IF(AND(18&lt;&gt;22,Anmeldung!$D$25&lt;&gt;"",Anmeldung!$G$25=Anmeldung!$G$29,Anmeldung!$J$25=Anmeldung!$J$29),Anmeldung!$B$25&amp;": "&amp;Anmeldung!$D$25&amp;", "&amp;Anmeldung!$E$25&amp;" / "&amp;Anmeldung!$G$25&amp;" / "&amp;Anmeldung!$J$25,"")</f>
        <v/>
      </c>
      <c r="CL12" t="str">
        <f>IF(AND(18&lt;&gt;22,Anmeldung!$D$25&lt;&gt;"",Anmeldung!$G$25=Anmeldung!$G$29,Anmeldung!$J$25=Anmeldung!$J$29,(Anmeldung!$B$25&amp;": "&amp;Anmeldung!$D$25&amp;", "&amp;Anmeldung!$E$25&amp;" / "&amp;Anmeldung!$G$25&amp;" / "&amp;Anmeldung!$J$25)&lt;&gt;Anmeldung!$P$29),Anmeldung!$B$25&amp;": "&amp;Anmeldung!$D$25&amp;", "&amp;Anmeldung!$E$25&amp;" / "&amp;Anmeldung!$G$25&amp;" / "&amp;Anmeldung!$J$25,"")</f>
        <v/>
      </c>
      <c r="CM12" t="str">
        <f>IF(AND(18&lt;&gt;22,Anmeldung!$D$25&lt;&gt;"",Anmeldung!$G$25=Anmeldung!$G$29,Anmeldung!$J$25=Anmeldung!$J$29,(Anmeldung!$B$25&amp;": "&amp;Anmeldung!$D$25&amp;", "&amp;Anmeldung!$E$25&amp;" / "&amp;Anmeldung!$G$25&amp;" / "&amp;Anmeldung!$J$25)&lt;&gt;Anmeldung!$O$29),Anmeldung!$B$25&amp;": "&amp;Anmeldung!$D$25&amp;", "&amp;Anmeldung!$E$25&amp;" / "&amp;Anmeldung!$G$25&amp;" / "&amp;Anmeldung!$J$25,"")</f>
        <v/>
      </c>
      <c r="CN12" t="str">
        <f>IF(AND(18&lt;&gt;22,Anmeldung!$D$25&lt;&gt;"",Anmeldung!$G$25&lt;&gt;Anmeldung!$G$29,(Anmeldung!$B$25&amp;": "&amp;Anmeldung!$D$25&amp;", "&amp;Anmeldung!$E$25&amp;" / "&amp;Anmeldung!$G$25&amp;" / "&amp;Anmeldung!$J$25)&lt;&gt;Anmeldung!$S$29),Anmeldung!$B$25&amp;": "&amp;Anmeldung!$D$25&amp;", "&amp;Anmeldung!$E$25&amp;" / "&amp;Anmeldung!$G$25&amp;" / "&amp;Anmeldung!$J$25,"")</f>
        <v/>
      </c>
      <c r="CO12" t="str">
        <f>IF(AND(18&lt;&gt;22,Anmeldung!$D$25&lt;&gt;"",(Anmeldung!$B$25&amp;": "&amp;Anmeldung!$D$25&amp;", "&amp;Anmeldung!$E$25&amp;" / "&amp;Anmeldung!$G$25&amp;" / "&amp;Anmeldung!$J$25)&lt;&gt;Anmeldung!$R$29),Anmeldung!$B$25&amp;": "&amp;Anmeldung!$D$25&amp;", "&amp;Anmeldung!$E$25&amp;" / "&amp;Anmeldung!$G$25&amp;" / "&amp;Anmeldung!$J$25,"")</f>
        <v/>
      </c>
      <c r="CP12" t="str">
        <f>IF(AND(17&lt;&gt;21,Anmeldung!$D$25&lt;&gt;"",Anmeldung!$U$25="Ja",Anmeldung!$G$25=Anmeldung!$G$29,Anmeldung!$J$25=Anmeldung!$J$29),Anmeldung!$B$25&amp;": "&amp;Anmeldung!$D$25&amp;", "&amp;Anmeldung!$E$25&amp;" / "&amp;Anmeldung!$G$25&amp;" / "&amp;Anmeldung!$J$25,"")</f>
        <v/>
      </c>
      <c r="CS12" t="str">
        <f>IF(AND(18&lt;&gt;23,Anmeldung!$D$25&lt;&gt;"",Anmeldung!$G$25=Anmeldung!$G$30,Anmeldung!$J$25=Anmeldung!$J$30),Anmeldung!$B$25&amp;": "&amp;Anmeldung!$D$25&amp;", "&amp;Anmeldung!$E$25&amp;" / "&amp;Anmeldung!$G$25&amp;" / "&amp;Anmeldung!$J$25,"")</f>
        <v/>
      </c>
      <c r="CT12" t="str">
        <f>IF(AND(18&lt;&gt;23,Anmeldung!$D$25&lt;&gt;"",Anmeldung!$G$25=Anmeldung!$G$30,Anmeldung!$J$25=Anmeldung!$J$30,(Anmeldung!$B$25&amp;": "&amp;Anmeldung!$D$25&amp;", "&amp;Anmeldung!$E$25&amp;" / "&amp;Anmeldung!$G$25&amp;" / "&amp;Anmeldung!$J$25)&lt;&gt;Anmeldung!$P$30),Anmeldung!$B$25&amp;": "&amp;Anmeldung!$D$25&amp;", "&amp;Anmeldung!$E$25&amp;" / "&amp;Anmeldung!$G$25&amp;" / "&amp;Anmeldung!$J$25,"")</f>
        <v/>
      </c>
      <c r="CU12" t="str">
        <f>IF(AND(18&lt;&gt;23,Anmeldung!$D$25&lt;&gt;"",Anmeldung!$G$25=Anmeldung!$G$30,Anmeldung!$J$25=Anmeldung!$J$30,(Anmeldung!$B$25&amp;": "&amp;Anmeldung!$D$25&amp;", "&amp;Anmeldung!$E$25&amp;" / "&amp;Anmeldung!$G$25&amp;" / "&amp;Anmeldung!$J$25)&lt;&gt;Anmeldung!$O$30),Anmeldung!$B$25&amp;": "&amp;Anmeldung!$D$25&amp;", "&amp;Anmeldung!$E$25&amp;" / "&amp;Anmeldung!$G$25&amp;" / "&amp;Anmeldung!$J$25,"")</f>
        <v/>
      </c>
      <c r="CV12" t="str">
        <f>IF(AND(18&lt;&gt;23,Anmeldung!$D$25&lt;&gt;"",Anmeldung!$G$25&lt;&gt;Anmeldung!$G$30,(Anmeldung!$B$25&amp;": "&amp;Anmeldung!$D$25&amp;", "&amp;Anmeldung!$E$25&amp;" / "&amp;Anmeldung!$G$25&amp;" / "&amp;Anmeldung!$J$25)&lt;&gt;Anmeldung!$S$30),Anmeldung!$B$25&amp;": "&amp;Anmeldung!$D$25&amp;", "&amp;Anmeldung!$E$25&amp;" / "&amp;Anmeldung!$G$25&amp;" / "&amp;Anmeldung!$J$25,"")</f>
        <v/>
      </c>
      <c r="CW12" t="str">
        <f>IF(AND(18&lt;&gt;23,Anmeldung!$D$25&lt;&gt;"",(Anmeldung!$B$25&amp;": "&amp;Anmeldung!$D$25&amp;", "&amp;Anmeldung!$E$25&amp;" / "&amp;Anmeldung!$G$25&amp;" / "&amp;Anmeldung!$J$25)&lt;&gt;Anmeldung!$R$30),Anmeldung!$B$25&amp;": "&amp;Anmeldung!$D$25&amp;", "&amp;Anmeldung!$E$25&amp;" / "&amp;Anmeldung!$G$25&amp;" / "&amp;Anmeldung!$J$25,"")</f>
        <v/>
      </c>
      <c r="CX12" t="str">
        <f>IF(AND(17&lt;&gt;22,Anmeldung!$D$25&lt;&gt;"",Anmeldung!$U$25="Ja",Anmeldung!$G$25=Anmeldung!$G$30,Anmeldung!$J$25=Anmeldung!$J$30),Anmeldung!$B$25&amp;": "&amp;Anmeldung!$D$25&amp;", "&amp;Anmeldung!$E$25&amp;" / "&amp;Anmeldung!$G$25&amp;" / "&amp;Anmeldung!$J$25,"")</f>
        <v/>
      </c>
      <c r="DA12" t="str">
        <f>IF(AND(18&lt;&gt;24,Anmeldung!$D$25&lt;&gt;"",Anmeldung!$G$25=Anmeldung!$G$31,Anmeldung!$J$25=Anmeldung!$J$31),Anmeldung!$B$25&amp;": "&amp;Anmeldung!$D$25&amp;", "&amp;Anmeldung!$E$25&amp;" / "&amp;Anmeldung!$G$25&amp;" / "&amp;Anmeldung!$J$25,"")</f>
        <v/>
      </c>
      <c r="DB12" t="str">
        <f>IF(AND(18&lt;&gt;24,Anmeldung!$D$25&lt;&gt;"",Anmeldung!$G$25=Anmeldung!$G$31,Anmeldung!$J$25=Anmeldung!$J$31,(Anmeldung!$B$25&amp;": "&amp;Anmeldung!$D$25&amp;", "&amp;Anmeldung!$E$25&amp;" / "&amp;Anmeldung!$G$25&amp;" / "&amp;Anmeldung!$J$25)&lt;&gt;Anmeldung!$P$31),Anmeldung!$B$25&amp;": "&amp;Anmeldung!$D$25&amp;", "&amp;Anmeldung!$E$25&amp;" / "&amp;Anmeldung!$G$25&amp;" / "&amp;Anmeldung!$J$25,"")</f>
        <v/>
      </c>
      <c r="DC12" t="str">
        <f>IF(AND(18&lt;&gt;24,Anmeldung!$D$25&lt;&gt;"",Anmeldung!$G$25=Anmeldung!$G$31,Anmeldung!$J$25=Anmeldung!$J$31,(Anmeldung!$B$25&amp;": "&amp;Anmeldung!$D$25&amp;", "&amp;Anmeldung!$E$25&amp;" / "&amp;Anmeldung!$G$25&amp;" / "&amp;Anmeldung!$J$25)&lt;&gt;Anmeldung!$O$31),Anmeldung!$B$25&amp;": "&amp;Anmeldung!$D$25&amp;", "&amp;Anmeldung!$E$25&amp;" / "&amp;Anmeldung!$G$25&amp;" / "&amp;Anmeldung!$J$25,"")</f>
        <v/>
      </c>
      <c r="DD12" t="str">
        <f>IF(AND(18&lt;&gt;24,Anmeldung!$D$25&lt;&gt;"",Anmeldung!$G$25&lt;&gt;Anmeldung!$G$31,(Anmeldung!$B$25&amp;": "&amp;Anmeldung!$D$25&amp;", "&amp;Anmeldung!$E$25&amp;" / "&amp;Anmeldung!$G$25&amp;" / "&amp;Anmeldung!$J$25)&lt;&gt;Anmeldung!$S$31),Anmeldung!$B$25&amp;": "&amp;Anmeldung!$D$25&amp;", "&amp;Anmeldung!$E$25&amp;" / "&amp;Anmeldung!$G$25&amp;" / "&amp;Anmeldung!$J$25,"")</f>
        <v/>
      </c>
      <c r="DE12" t="str">
        <f>IF(AND(18&lt;&gt;24,Anmeldung!$D$25&lt;&gt;"",(Anmeldung!$B$25&amp;": "&amp;Anmeldung!$D$25&amp;", "&amp;Anmeldung!$E$25&amp;" / "&amp;Anmeldung!$G$25&amp;" / "&amp;Anmeldung!$J$25)&lt;&gt;Anmeldung!$R$31),Anmeldung!$B$25&amp;": "&amp;Anmeldung!$D$25&amp;", "&amp;Anmeldung!$E$25&amp;" / "&amp;Anmeldung!$G$25&amp;" / "&amp;Anmeldung!$J$25,"")</f>
        <v/>
      </c>
      <c r="DF12" t="str">
        <f>IF(AND(17&lt;&gt;23,Anmeldung!$D$25&lt;&gt;"",Anmeldung!$U$25="Ja",Anmeldung!$G$25=Anmeldung!$G$31,Anmeldung!$J$25=Anmeldung!$J$31),Anmeldung!$B$25&amp;": "&amp;Anmeldung!$D$25&amp;", "&amp;Anmeldung!$E$25&amp;" / "&amp;Anmeldung!$G$25&amp;" / "&amp;Anmeldung!$J$25,"")</f>
        <v/>
      </c>
      <c r="DI12" t="str">
        <f>IF(AND(18&lt;&gt;25,Anmeldung!$D$25&lt;&gt;"",Anmeldung!$G$25=Anmeldung!$G$32,Anmeldung!$J$25=Anmeldung!$J$32),Anmeldung!$B$25&amp;": "&amp;Anmeldung!$D$25&amp;", "&amp;Anmeldung!$E$25&amp;" / "&amp;Anmeldung!$G$25&amp;" / "&amp;Anmeldung!$J$25,"")</f>
        <v/>
      </c>
      <c r="DJ12" t="str">
        <f>IF(AND(18&lt;&gt;25,Anmeldung!$D$25&lt;&gt;"",Anmeldung!$G$25=Anmeldung!$G$32,Anmeldung!$J$25=Anmeldung!$J$32,(Anmeldung!$B$25&amp;": "&amp;Anmeldung!$D$25&amp;", "&amp;Anmeldung!$E$25&amp;" / "&amp;Anmeldung!$G$25&amp;" / "&amp;Anmeldung!$J$25)&lt;&gt;Anmeldung!$P$32),Anmeldung!$B$25&amp;": "&amp;Anmeldung!$D$25&amp;", "&amp;Anmeldung!$E$25&amp;" / "&amp;Anmeldung!$G$25&amp;" / "&amp;Anmeldung!$J$25,"")</f>
        <v/>
      </c>
      <c r="DK12" t="str">
        <f>IF(AND(18&lt;&gt;25,Anmeldung!$D$25&lt;&gt;"",Anmeldung!$G$25=Anmeldung!$G$32,Anmeldung!$J$25=Anmeldung!$J$32,(Anmeldung!$B$25&amp;": "&amp;Anmeldung!$D$25&amp;", "&amp;Anmeldung!$E$25&amp;" / "&amp;Anmeldung!$G$25&amp;" / "&amp;Anmeldung!$J$25)&lt;&gt;Anmeldung!$O$32),Anmeldung!$B$25&amp;": "&amp;Anmeldung!$D$25&amp;", "&amp;Anmeldung!$E$25&amp;" / "&amp;Anmeldung!$G$25&amp;" / "&amp;Anmeldung!$J$25,"")</f>
        <v/>
      </c>
      <c r="DL12" t="str">
        <f>IF(AND(18&lt;&gt;25,Anmeldung!$D$25&lt;&gt;"",Anmeldung!$G$25&lt;&gt;Anmeldung!$G$32,(Anmeldung!$B$25&amp;": "&amp;Anmeldung!$D$25&amp;", "&amp;Anmeldung!$E$25&amp;" / "&amp;Anmeldung!$G$25&amp;" / "&amp;Anmeldung!$J$25)&lt;&gt;Anmeldung!$S$32),Anmeldung!$B$25&amp;": "&amp;Anmeldung!$D$25&amp;", "&amp;Anmeldung!$E$25&amp;" / "&amp;Anmeldung!$G$25&amp;" / "&amp;Anmeldung!$J$25,"")</f>
        <v/>
      </c>
      <c r="DM12" t="str">
        <f>IF(AND(18&lt;&gt;25,Anmeldung!$D$25&lt;&gt;"",(Anmeldung!$B$25&amp;": "&amp;Anmeldung!$D$25&amp;", "&amp;Anmeldung!$E$25&amp;" / "&amp;Anmeldung!$G$25&amp;" / "&amp;Anmeldung!$J$25)&lt;&gt;Anmeldung!$R$32),Anmeldung!$B$25&amp;": "&amp;Anmeldung!$D$25&amp;", "&amp;Anmeldung!$E$25&amp;" / "&amp;Anmeldung!$G$25&amp;" / "&amp;Anmeldung!$J$25,"")</f>
        <v/>
      </c>
      <c r="DN12" t="str">
        <f>IF(AND(17&lt;&gt;24,Anmeldung!$D$25&lt;&gt;"",Anmeldung!$U$25="Ja",Anmeldung!$G$25=Anmeldung!$G$32,Anmeldung!$J$25=Anmeldung!$J$32),Anmeldung!$B$25&amp;": "&amp;Anmeldung!$D$25&amp;", "&amp;Anmeldung!$E$25&amp;" / "&amp;Anmeldung!$G$25&amp;" / "&amp;Anmeldung!$J$25,"")</f>
        <v/>
      </c>
      <c r="DQ12" t="str">
        <f>IF(AND(18&lt;&gt;26,Anmeldung!$D$25&lt;&gt;"",Anmeldung!$G$25=Anmeldung!$G$33,Anmeldung!$J$25=Anmeldung!$J$33),Anmeldung!$B$25&amp;": "&amp;Anmeldung!$D$25&amp;", "&amp;Anmeldung!$E$25&amp;" / "&amp;Anmeldung!$G$25&amp;" / "&amp;Anmeldung!$J$25,"")</f>
        <v/>
      </c>
      <c r="DR12" t="str">
        <f>IF(AND(18&lt;&gt;26,Anmeldung!$D$25&lt;&gt;"",Anmeldung!$G$25=Anmeldung!$G$33,Anmeldung!$J$25=Anmeldung!$J$33,(Anmeldung!$B$25&amp;": "&amp;Anmeldung!$D$25&amp;", "&amp;Anmeldung!$E$25&amp;" / "&amp;Anmeldung!$G$25&amp;" / "&amp;Anmeldung!$J$25)&lt;&gt;Anmeldung!$P$33),Anmeldung!$B$25&amp;": "&amp;Anmeldung!$D$25&amp;", "&amp;Anmeldung!$E$25&amp;" / "&amp;Anmeldung!$G$25&amp;" / "&amp;Anmeldung!$J$25,"")</f>
        <v/>
      </c>
      <c r="DS12" t="str">
        <f>IF(AND(18&lt;&gt;26,Anmeldung!$D$25&lt;&gt;"",Anmeldung!$G$25=Anmeldung!$G$33,Anmeldung!$J$25=Anmeldung!$J$33,(Anmeldung!$B$25&amp;": "&amp;Anmeldung!$D$25&amp;", "&amp;Anmeldung!$E$25&amp;" / "&amp;Anmeldung!$G$25&amp;" / "&amp;Anmeldung!$J$25)&lt;&gt;Anmeldung!$O$33),Anmeldung!$B$25&amp;": "&amp;Anmeldung!$D$25&amp;", "&amp;Anmeldung!$E$25&amp;" / "&amp;Anmeldung!$G$25&amp;" / "&amp;Anmeldung!$J$25,"")</f>
        <v/>
      </c>
      <c r="DT12" t="str">
        <f>IF(AND(18&lt;&gt;26,Anmeldung!$D$25&lt;&gt;"",Anmeldung!$G$25&lt;&gt;Anmeldung!$G$33,(Anmeldung!$B$25&amp;": "&amp;Anmeldung!$D$25&amp;", "&amp;Anmeldung!$E$25&amp;" / "&amp;Anmeldung!$G$25&amp;" / "&amp;Anmeldung!$J$25)&lt;&gt;Anmeldung!$S$33),Anmeldung!$B$25&amp;": "&amp;Anmeldung!$D$25&amp;", "&amp;Anmeldung!$E$25&amp;" / "&amp;Anmeldung!$G$25&amp;" / "&amp;Anmeldung!$J$25,"")</f>
        <v/>
      </c>
      <c r="DU12" t="str">
        <f>IF(AND(18&lt;&gt;26,Anmeldung!$D$25&lt;&gt;"",(Anmeldung!$B$25&amp;": "&amp;Anmeldung!$D$25&amp;", "&amp;Anmeldung!$E$25&amp;" / "&amp;Anmeldung!$G$25&amp;" / "&amp;Anmeldung!$J$25)&lt;&gt;Anmeldung!$R$33),Anmeldung!$B$25&amp;": "&amp;Anmeldung!$D$25&amp;", "&amp;Anmeldung!$E$25&amp;" / "&amp;Anmeldung!$G$25&amp;" / "&amp;Anmeldung!$J$25,"")</f>
        <v/>
      </c>
      <c r="DV12" t="str">
        <f>IF(AND(17&lt;&gt;25,Anmeldung!$D$25&lt;&gt;"",Anmeldung!$U$25="Ja",Anmeldung!$G$25=Anmeldung!$G$33,Anmeldung!$J$25=Anmeldung!$J$33),Anmeldung!$B$25&amp;": "&amp;Anmeldung!$D$25&amp;", "&amp;Anmeldung!$E$25&amp;" / "&amp;Anmeldung!$G$25&amp;" / "&amp;Anmeldung!$J$25,"")</f>
        <v/>
      </c>
      <c r="DY12" t="str">
        <f>IF(AND(18&lt;&gt;27,Anmeldung!$D$25&lt;&gt;"",Anmeldung!$G$25=Anmeldung!$G$34,Anmeldung!$J$25=Anmeldung!$J$34),Anmeldung!$B$25&amp;": "&amp;Anmeldung!$D$25&amp;", "&amp;Anmeldung!$E$25&amp;" / "&amp;Anmeldung!$G$25&amp;" / "&amp;Anmeldung!$J$25,"")</f>
        <v/>
      </c>
      <c r="DZ12" t="str">
        <f>IF(AND(18&lt;&gt;27,Anmeldung!$D$25&lt;&gt;"",Anmeldung!$G$25=Anmeldung!$G$34,Anmeldung!$J$25=Anmeldung!$J$34,(Anmeldung!$B$25&amp;": "&amp;Anmeldung!$D$25&amp;", "&amp;Anmeldung!$E$25&amp;" / "&amp;Anmeldung!$G$25&amp;" / "&amp;Anmeldung!$J$25)&lt;&gt;Anmeldung!$P$34),Anmeldung!$B$25&amp;": "&amp;Anmeldung!$D$25&amp;", "&amp;Anmeldung!$E$25&amp;" / "&amp;Anmeldung!$G$25&amp;" / "&amp;Anmeldung!$J$25,"")</f>
        <v/>
      </c>
      <c r="EA12" t="str">
        <f>IF(AND(18&lt;&gt;27,Anmeldung!$D$25&lt;&gt;"",Anmeldung!$G$25=Anmeldung!$G$34,Anmeldung!$J$25=Anmeldung!$J$34,(Anmeldung!$B$25&amp;": "&amp;Anmeldung!$D$25&amp;", "&amp;Anmeldung!$E$25&amp;" / "&amp;Anmeldung!$G$25&amp;" / "&amp;Anmeldung!$J$25)&lt;&gt;Anmeldung!$O$34),Anmeldung!$B$25&amp;": "&amp;Anmeldung!$D$25&amp;", "&amp;Anmeldung!$E$25&amp;" / "&amp;Anmeldung!$G$25&amp;" / "&amp;Anmeldung!$J$25,"")</f>
        <v/>
      </c>
      <c r="EB12" t="str">
        <f>IF(AND(18&lt;&gt;27,Anmeldung!$D$25&lt;&gt;"",Anmeldung!$G$25&lt;&gt;Anmeldung!$G$34,(Anmeldung!$B$25&amp;": "&amp;Anmeldung!$D$25&amp;", "&amp;Anmeldung!$E$25&amp;" / "&amp;Anmeldung!$G$25&amp;" / "&amp;Anmeldung!$J$25)&lt;&gt;Anmeldung!$S$34),Anmeldung!$B$25&amp;": "&amp;Anmeldung!$D$25&amp;", "&amp;Anmeldung!$E$25&amp;" / "&amp;Anmeldung!$G$25&amp;" / "&amp;Anmeldung!$J$25,"")</f>
        <v/>
      </c>
      <c r="EC12" t="str">
        <f>IF(AND(18&lt;&gt;27,Anmeldung!$D$25&lt;&gt;"",(Anmeldung!$B$25&amp;": "&amp;Anmeldung!$D$25&amp;", "&amp;Anmeldung!$E$25&amp;" / "&amp;Anmeldung!$G$25&amp;" / "&amp;Anmeldung!$J$25)&lt;&gt;Anmeldung!$R$34),Anmeldung!$B$25&amp;": "&amp;Anmeldung!$D$25&amp;", "&amp;Anmeldung!$E$25&amp;" / "&amp;Anmeldung!$G$25&amp;" / "&amp;Anmeldung!$J$25,"")</f>
        <v/>
      </c>
      <c r="ED12" t="str">
        <f>IF(AND(17&lt;&gt;26,Anmeldung!$D$25&lt;&gt;"",Anmeldung!$U$25="Ja",Anmeldung!$G$25=Anmeldung!$G$34,Anmeldung!$J$25=Anmeldung!$J$34),Anmeldung!$B$25&amp;": "&amp;Anmeldung!$D$25&amp;", "&amp;Anmeldung!$E$25&amp;" / "&amp;Anmeldung!$G$25&amp;" / "&amp;Anmeldung!$J$25,"")</f>
        <v/>
      </c>
      <c r="EG12" t="str">
        <f>IF(AND(18&lt;&gt;28,Anmeldung!$D$25&lt;&gt;"",Anmeldung!$G$25=Anmeldung!$G$35,Anmeldung!$J$25=Anmeldung!$J$35),Anmeldung!$B$25&amp;": "&amp;Anmeldung!$D$25&amp;", "&amp;Anmeldung!$E$25&amp;" / "&amp;Anmeldung!$G$25&amp;" / "&amp;Anmeldung!$J$25,"")</f>
        <v/>
      </c>
      <c r="EH12" t="str">
        <f>IF(AND(18&lt;&gt;28,Anmeldung!$D$25&lt;&gt;"",Anmeldung!$G$25=Anmeldung!$G$35,Anmeldung!$J$25=Anmeldung!$J$35,(Anmeldung!$B$25&amp;": "&amp;Anmeldung!$D$25&amp;", "&amp;Anmeldung!$E$25&amp;" / "&amp;Anmeldung!$G$25&amp;" / "&amp;Anmeldung!$J$25)&lt;&gt;Anmeldung!$P$35),Anmeldung!$B$25&amp;": "&amp;Anmeldung!$D$25&amp;", "&amp;Anmeldung!$E$25&amp;" / "&amp;Anmeldung!$G$25&amp;" / "&amp;Anmeldung!$J$25,"")</f>
        <v/>
      </c>
      <c r="EI12" t="str">
        <f>IF(AND(18&lt;&gt;28,Anmeldung!$D$25&lt;&gt;"",Anmeldung!$G$25=Anmeldung!$G$35,Anmeldung!$J$25=Anmeldung!$J$35,(Anmeldung!$B$25&amp;": "&amp;Anmeldung!$D$25&amp;", "&amp;Anmeldung!$E$25&amp;" / "&amp;Anmeldung!$G$25&amp;" / "&amp;Anmeldung!$J$25)&lt;&gt;Anmeldung!$O$35),Anmeldung!$B$25&amp;": "&amp;Anmeldung!$D$25&amp;", "&amp;Anmeldung!$E$25&amp;" / "&amp;Anmeldung!$G$25&amp;" / "&amp;Anmeldung!$J$25,"")</f>
        <v/>
      </c>
      <c r="EJ12" t="str">
        <f>IF(AND(18&lt;&gt;28,Anmeldung!$D$25&lt;&gt;"",Anmeldung!$G$25&lt;&gt;Anmeldung!$G$35,(Anmeldung!$B$25&amp;": "&amp;Anmeldung!$D$25&amp;", "&amp;Anmeldung!$E$25&amp;" / "&amp;Anmeldung!$G$25&amp;" / "&amp;Anmeldung!$J$25)&lt;&gt;Anmeldung!$S$35),Anmeldung!$B$25&amp;": "&amp;Anmeldung!$D$25&amp;", "&amp;Anmeldung!$E$25&amp;" / "&amp;Anmeldung!$G$25&amp;" / "&amp;Anmeldung!$J$25,"")</f>
        <v/>
      </c>
      <c r="EK12" t="str">
        <f>IF(AND(18&lt;&gt;28,Anmeldung!$D$25&lt;&gt;"",(Anmeldung!$B$25&amp;": "&amp;Anmeldung!$D$25&amp;", "&amp;Anmeldung!$E$25&amp;" / "&amp;Anmeldung!$G$25&amp;" / "&amp;Anmeldung!$J$25)&lt;&gt;Anmeldung!$R$35),Anmeldung!$B$25&amp;": "&amp;Anmeldung!$D$25&amp;", "&amp;Anmeldung!$E$25&amp;" / "&amp;Anmeldung!$G$25&amp;" / "&amp;Anmeldung!$J$25,"")</f>
        <v/>
      </c>
      <c r="EL12" t="str">
        <f>IF(AND(17&lt;&gt;27,Anmeldung!$D$25&lt;&gt;"",Anmeldung!$U$25="Ja",Anmeldung!$G$25=Anmeldung!$G$35,Anmeldung!$J$25=Anmeldung!$J$35),Anmeldung!$B$25&amp;": "&amp;Anmeldung!$D$25&amp;", "&amp;Anmeldung!$E$25&amp;" / "&amp;Anmeldung!$G$25&amp;" / "&amp;Anmeldung!$J$25,"")</f>
        <v/>
      </c>
      <c r="EO12" t="str">
        <f>IF(AND(18&lt;&gt;29,Anmeldung!$D$25&lt;&gt;"",Anmeldung!$G$25=Anmeldung!$G$36,Anmeldung!$J$25=Anmeldung!$J$36),Anmeldung!$B$25&amp;": "&amp;Anmeldung!$D$25&amp;", "&amp;Anmeldung!$E$25&amp;" / "&amp;Anmeldung!$G$25&amp;" / "&amp;Anmeldung!$J$25,"")</f>
        <v/>
      </c>
      <c r="EP12" t="str">
        <f>IF(AND(18&lt;&gt;29,Anmeldung!$D$25&lt;&gt;"",Anmeldung!$G$25=Anmeldung!$G$36,Anmeldung!$J$25=Anmeldung!$J$36,(Anmeldung!$B$25&amp;": "&amp;Anmeldung!$D$25&amp;", "&amp;Anmeldung!$E$25&amp;" / "&amp;Anmeldung!$G$25&amp;" / "&amp;Anmeldung!$J$25)&lt;&gt;Anmeldung!$P$36),Anmeldung!$B$25&amp;": "&amp;Anmeldung!$D$25&amp;", "&amp;Anmeldung!$E$25&amp;" / "&amp;Anmeldung!$G$25&amp;" / "&amp;Anmeldung!$J$25,"")</f>
        <v/>
      </c>
      <c r="EQ12" t="str">
        <f>IF(AND(18&lt;&gt;29,Anmeldung!$D$25&lt;&gt;"",Anmeldung!$G$25=Anmeldung!$G$36,Anmeldung!$J$25=Anmeldung!$J$36,(Anmeldung!$B$25&amp;": "&amp;Anmeldung!$D$25&amp;", "&amp;Anmeldung!$E$25&amp;" / "&amp;Anmeldung!$G$25&amp;" / "&amp;Anmeldung!$J$25)&lt;&gt;Anmeldung!$O$36),Anmeldung!$B$25&amp;": "&amp;Anmeldung!$D$25&amp;", "&amp;Anmeldung!$E$25&amp;" / "&amp;Anmeldung!$G$25&amp;" / "&amp;Anmeldung!$J$25,"")</f>
        <v/>
      </c>
      <c r="ER12" t="str">
        <f>IF(AND(18&lt;&gt;29,Anmeldung!$D$25&lt;&gt;"",Anmeldung!$G$25&lt;&gt;Anmeldung!$G$36,(Anmeldung!$B$25&amp;": "&amp;Anmeldung!$D$25&amp;", "&amp;Anmeldung!$E$25&amp;" / "&amp;Anmeldung!$G$25&amp;" / "&amp;Anmeldung!$J$25)&lt;&gt;Anmeldung!$S$36),Anmeldung!$B$25&amp;": "&amp;Anmeldung!$D$25&amp;", "&amp;Anmeldung!$E$25&amp;" / "&amp;Anmeldung!$G$25&amp;" / "&amp;Anmeldung!$J$25,"")</f>
        <v/>
      </c>
      <c r="ES12" t="str">
        <f>IF(AND(18&lt;&gt;29,Anmeldung!$D$25&lt;&gt;"",(Anmeldung!$B$25&amp;": "&amp;Anmeldung!$D$25&amp;", "&amp;Anmeldung!$E$25&amp;" / "&amp;Anmeldung!$G$25&amp;" / "&amp;Anmeldung!$J$25)&lt;&gt;Anmeldung!$R$36),Anmeldung!$B$25&amp;": "&amp;Anmeldung!$D$25&amp;", "&amp;Anmeldung!$E$25&amp;" / "&amp;Anmeldung!$G$25&amp;" / "&amp;Anmeldung!$J$25,"")</f>
        <v/>
      </c>
      <c r="ET12" t="str">
        <f>IF(AND(17&lt;&gt;28,Anmeldung!$D$25&lt;&gt;"",Anmeldung!$U$25="Ja",Anmeldung!$G$25=Anmeldung!$G$36,Anmeldung!$J$25=Anmeldung!$J$36),Anmeldung!$B$25&amp;": "&amp;Anmeldung!$D$25&amp;", "&amp;Anmeldung!$E$25&amp;" / "&amp;Anmeldung!$G$25&amp;" / "&amp;Anmeldung!$J$25,"")</f>
        <v/>
      </c>
      <c r="EW12" t="str">
        <f>IF(AND(18&lt;&gt;30,Anmeldung!$D$25&lt;&gt;"",Anmeldung!$G$25=Anmeldung!$G$37,Anmeldung!$J$25=Anmeldung!$J$37),Anmeldung!$B$25&amp;": "&amp;Anmeldung!$D$25&amp;", "&amp;Anmeldung!$E$25&amp;" / "&amp;Anmeldung!$G$25&amp;" / "&amp;Anmeldung!$J$25,"")</f>
        <v/>
      </c>
      <c r="EX12" t="str">
        <f>IF(AND(18&lt;&gt;30,Anmeldung!$D$25&lt;&gt;"",Anmeldung!$G$25=Anmeldung!$G$37,Anmeldung!$J$25=Anmeldung!$J$37,(Anmeldung!$B$25&amp;": "&amp;Anmeldung!$D$25&amp;", "&amp;Anmeldung!$E$25&amp;" / "&amp;Anmeldung!$G$25&amp;" / "&amp;Anmeldung!$J$25)&lt;&gt;Anmeldung!$P$37),Anmeldung!$B$25&amp;": "&amp;Anmeldung!$D$25&amp;", "&amp;Anmeldung!$E$25&amp;" / "&amp;Anmeldung!$G$25&amp;" / "&amp;Anmeldung!$J$25,"")</f>
        <v/>
      </c>
      <c r="EY12" t="str">
        <f>IF(AND(18&lt;&gt;30,Anmeldung!$D$25&lt;&gt;"",Anmeldung!$G$25=Anmeldung!$G$37,Anmeldung!$J$25=Anmeldung!$J$37,(Anmeldung!$B$25&amp;": "&amp;Anmeldung!$D$25&amp;", "&amp;Anmeldung!$E$25&amp;" / "&amp;Anmeldung!$G$25&amp;" / "&amp;Anmeldung!$J$25)&lt;&gt;Anmeldung!$O$37),Anmeldung!$B$25&amp;": "&amp;Anmeldung!$D$25&amp;", "&amp;Anmeldung!$E$25&amp;" / "&amp;Anmeldung!$G$25&amp;" / "&amp;Anmeldung!$J$25,"")</f>
        <v/>
      </c>
      <c r="EZ12" t="str">
        <f>IF(AND(18&lt;&gt;30,Anmeldung!$D$25&lt;&gt;"",Anmeldung!$G$25&lt;&gt;Anmeldung!$G$37,(Anmeldung!$B$25&amp;": "&amp;Anmeldung!$D$25&amp;", "&amp;Anmeldung!$E$25&amp;" / "&amp;Anmeldung!$G$25&amp;" / "&amp;Anmeldung!$J$25)&lt;&gt;Anmeldung!$S$37),Anmeldung!$B$25&amp;": "&amp;Anmeldung!$D$25&amp;", "&amp;Anmeldung!$E$25&amp;" / "&amp;Anmeldung!$G$25&amp;" / "&amp;Anmeldung!$J$25,"")</f>
        <v/>
      </c>
      <c r="FA12" t="str">
        <f>IF(AND(18&lt;&gt;30,Anmeldung!$D$25&lt;&gt;"",(Anmeldung!$B$25&amp;": "&amp;Anmeldung!$D$25&amp;", "&amp;Anmeldung!$E$25&amp;" / "&amp;Anmeldung!$G$25&amp;" / "&amp;Anmeldung!$J$25)&lt;&gt;Anmeldung!$R$37),Anmeldung!$B$25&amp;": "&amp;Anmeldung!$D$25&amp;", "&amp;Anmeldung!$E$25&amp;" / "&amp;Anmeldung!$G$25&amp;" / "&amp;Anmeldung!$J$25,"")</f>
        <v/>
      </c>
      <c r="FB12" t="str">
        <f>IF(AND(17&lt;&gt;29,Anmeldung!$D$25&lt;&gt;"",Anmeldung!$U$25="Ja",Anmeldung!$G$25=Anmeldung!$G$37,Anmeldung!$J$25=Anmeldung!$J$37),Anmeldung!$B$25&amp;": "&amp;Anmeldung!$D$25&amp;", "&amp;Anmeldung!$E$25&amp;" / "&amp;Anmeldung!$G$25&amp;" / "&amp;Anmeldung!$J$25,"")</f>
        <v/>
      </c>
      <c r="FE12" t="str">
        <f>IF(AND(18&lt;&gt;31,Anmeldung!$D$25&lt;&gt;"",Anmeldung!$G$25=Anmeldung!$G$38,Anmeldung!$J$25=Anmeldung!$J$38),Anmeldung!$B$25&amp;": "&amp;Anmeldung!$D$25&amp;", "&amp;Anmeldung!$E$25&amp;" / "&amp;Anmeldung!$G$25&amp;" / "&amp;Anmeldung!$J$25,"")</f>
        <v/>
      </c>
      <c r="FF12" t="str">
        <f>IF(AND(18&lt;&gt;31,Anmeldung!$D$25&lt;&gt;"",Anmeldung!$G$25=Anmeldung!$G$38,Anmeldung!$J$25=Anmeldung!$J$38,(Anmeldung!$B$25&amp;": "&amp;Anmeldung!$D$25&amp;", "&amp;Anmeldung!$E$25&amp;" / "&amp;Anmeldung!$G$25&amp;" / "&amp;Anmeldung!$J$25)&lt;&gt;Anmeldung!$P$38),Anmeldung!$B$25&amp;": "&amp;Anmeldung!$D$25&amp;", "&amp;Anmeldung!$E$25&amp;" / "&amp;Anmeldung!$G$25&amp;" / "&amp;Anmeldung!$J$25,"")</f>
        <v/>
      </c>
      <c r="FG12" t="str">
        <f>IF(AND(18&lt;&gt;31,Anmeldung!$D$25&lt;&gt;"",Anmeldung!$G$25=Anmeldung!$G$38,Anmeldung!$J$25=Anmeldung!$J$38,(Anmeldung!$B$25&amp;": "&amp;Anmeldung!$D$25&amp;", "&amp;Anmeldung!$E$25&amp;" / "&amp;Anmeldung!$G$25&amp;" / "&amp;Anmeldung!$J$25)&lt;&gt;Anmeldung!$O$38),Anmeldung!$B$25&amp;": "&amp;Anmeldung!$D$25&amp;", "&amp;Anmeldung!$E$25&amp;" / "&amp;Anmeldung!$G$25&amp;" / "&amp;Anmeldung!$J$25,"")</f>
        <v/>
      </c>
      <c r="FH12" t="str">
        <f>IF(AND(18&lt;&gt;31,Anmeldung!$D$25&lt;&gt;"",Anmeldung!$G$25&lt;&gt;Anmeldung!$G$38,(Anmeldung!$B$25&amp;": "&amp;Anmeldung!$D$25&amp;", "&amp;Anmeldung!$E$25&amp;" / "&amp;Anmeldung!$G$25&amp;" / "&amp;Anmeldung!$J$25)&lt;&gt;Anmeldung!$S$38),Anmeldung!$B$25&amp;": "&amp;Anmeldung!$D$25&amp;", "&amp;Anmeldung!$E$25&amp;" / "&amp;Anmeldung!$G$25&amp;" / "&amp;Anmeldung!$J$25,"")</f>
        <v/>
      </c>
      <c r="FI12" t="str">
        <f>IF(AND(18&lt;&gt;31,Anmeldung!$D$25&lt;&gt;"",(Anmeldung!$B$25&amp;": "&amp;Anmeldung!$D$25&amp;", "&amp;Anmeldung!$E$25&amp;" / "&amp;Anmeldung!$G$25&amp;" / "&amp;Anmeldung!$J$25)&lt;&gt;Anmeldung!$R$38),Anmeldung!$B$25&amp;": "&amp;Anmeldung!$D$25&amp;", "&amp;Anmeldung!$E$25&amp;" / "&amp;Anmeldung!$G$25&amp;" / "&amp;Anmeldung!$J$25,"")</f>
        <v/>
      </c>
      <c r="FJ12" t="str">
        <f>IF(AND(17&lt;&gt;30,Anmeldung!$D$25&lt;&gt;"",Anmeldung!$U$25="Ja",Anmeldung!$G$25=Anmeldung!$G$38,Anmeldung!$J$25=Anmeldung!$J$38),Anmeldung!$B$25&amp;": "&amp;Anmeldung!$D$25&amp;", "&amp;Anmeldung!$E$25&amp;" / "&amp;Anmeldung!$G$25&amp;" / "&amp;Anmeldung!$J$25,"")</f>
        <v/>
      </c>
      <c r="FM12" t="str">
        <f>IF(AND(18&lt;&gt;32,Anmeldung!$D$25&lt;&gt;"",Anmeldung!$G$25=Anmeldung!$G$39,Anmeldung!$J$25=Anmeldung!$J$39),Anmeldung!$B$25&amp;": "&amp;Anmeldung!$D$25&amp;", "&amp;Anmeldung!$E$25&amp;" / "&amp;Anmeldung!$G$25&amp;" / "&amp;Anmeldung!$J$25,"")</f>
        <v/>
      </c>
      <c r="FN12" t="str">
        <f>IF(AND(18&lt;&gt;32,Anmeldung!$D$25&lt;&gt;"",Anmeldung!$G$25=Anmeldung!$G$39,Anmeldung!$J$25=Anmeldung!$J$39,(Anmeldung!$B$25&amp;": "&amp;Anmeldung!$D$25&amp;", "&amp;Anmeldung!$E$25&amp;" / "&amp;Anmeldung!$G$25&amp;" / "&amp;Anmeldung!$J$25)&lt;&gt;Anmeldung!$P$39),Anmeldung!$B$25&amp;": "&amp;Anmeldung!$D$25&amp;", "&amp;Anmeldung!$E$25&amp;" / "&amp;Anmeldung!$G$25&amp;" / "&amp;Anmeldung!$J$25,"")</f>
        <v/>
      </c>
      <c r="FO12" t="str">
        <f>IF(AND(18&lt;&gt;32,Anmeldung!$D$25&lt;&gt;"",Anmeldung!$G$25=Anmeldung!$G$39,Anmeldung!$J$25=Anmeldung!$J$39,(Anmeldung!$B$25&amp;": "&amp;Anmeldung!$D$25&amp;", "&amp;Anmeldung!$E$25&amp;" / "&amp;Anmeldung!$G$25&amp;" / "&amp;Anmeldung!$J$25)&lt;&gt;Anmeldung!$O$39),Anmeldung!$B$25&amp;": "&amp;Anmeldung!$D$25&amp;", "&amp;Anmeldung!$E$25&amp;" / "&amp;Anmeldung!$G$25&amp;" / "&amp;Anmeldung!$J$25,"")</f>
        <v/>
      </c>
      <c r="FP12" t="str">
        <f>IF(AND(18&lt;&gt;32,Anmeldung!$D$25&lt;&gt;"",Anmeldung!$G$25&lt;&gt;Anmeldung!$G$39,(Anmeldung!$B$25&amp;": "&amp;Anmeldung!$D$25&amp;", "&amp;Anmeldung!$E$25&amp;" / "&amp;Anmeldung!$G$25&amp;" / "&amp;Anmeldung!$J$25)&lt;&gt;Anmeldung!$S$39),Anmeldung!$B$25&amp;": "&amp;Anmeldung!$D$25&amp;", "&amp;Anmeldung!$E$25&amp;" / "&amp;Anmeldung!$G$25&amp;" / "&amp;Anmeldung!$J$25,"")</f>
        <v/>
      </c>
      <c r="FQ12" t="str">
        <f>IF(AND(18&lt;&gt;32,Anmeldung!$D$25&lt;&gt;"",(Anmeldung!$B$25&amp;": "&amp;Anmeldung!$D$25&amp;", "&amp;Anmeldung!$E$25&amp;" / "&amp;Anmeldung!$G$25&amp;" / "&amp;Anmeldung!$J$25)&lt;&gt;Anmeldung!$R$39),Anmeldung!$B$25&amp;": "&amp;Anmeldung!$D$25&amp;", "&amp;Anmeldung!$E$25&amp;" / "&amp;Anmeldung!$G$25&amp;" / "&amp;Anmeldung!$J$25,"")</f>
        <v/>
      </c>
      <c r="FR12" t="str">
        <f>IF(AND(17&lt;&gt;31,Anmeldung!$D$25&lt;&gt;"",Anmeldung!$U$25="Ja",Anmeldung!$G$25=Anmeldung!$G$39,Anmeldung!$J$25=Anmeldung!$J$39),Anmeldung!$B$25&amp;": "&amp;Anmeldung!$D$25&amp;", "&amp;Anmeldung!$E$25&amp;" / "&amp;Anmeldung!$G$25&amp;" / "&amp;Anmeldung!$J$25,"")</f>
        <v/>
      </c>
      <c r="FU12" t="str">
        <f>IF(AND(18&lt;&gt;33,Anmeldung!$D$25&lt;&gt;"",Anmeldung!$G$25=Anmeldung!$G$40,Anmeldung!$J$25=Anmeldung!$J$40),Anmeldung!$B$25&amp;": "&amp;Anmeldung!$D$25&amp;", "&amp;Anmeldung!$E$25&amp;" / "&amp;Anmeldung!$G$25&amp;" / "&amp;Anmeldung!$J$25,"")</f>
        <v/>
      </c>
      <c r="FV12" t="str">
        <f>IF(AND(18&lt;&gt;33,Anmeldung!$D$25&lt;&gt;"",Anmeldung!$G$25=Anmeldung!$G$40,Anmeldung!$J$25=Anmeldung!$J$40,(Anmeldung!$B$25&amp;": "&amp;Anmeldung!$D$25&amp;", "&amp;Anmeldung!$E$25&amp;" / "&amp;Anmeldung!$G$25&amp;" / "&amp;Anmeldung!$J$25)&lt;&gt;Anmeldung!$P$40),Anmeldung!$B$25&amp;": "&amp;Anmeldung!$D$25&amp;", "&amp;Anmeldung!$E$25&amp;" / "&amp;Anmeldung!$G$25&amp;" / "&amp;Anmeldung!$J$25,"")</f>
        <v/>
      </c>
      <c r="FW12" t="str">
        <f>IF(AND(18&lt;&gt;33,Anmeldung!$D$25&lt;&gt;"",Anmeldung!$G$25=Anmeldung!$G$40,Anmeldung!$J$25=Anmeldung!$J$40,(Anmeldung!$B$25&amp;": "&amp;Anmeldung!$D$25&amp;", "&amp;Anmeldung!$E$25&amp;" / "&amp;Anmeldung!$G$25&amp;" / "&amp;Anmeldung!$J$25)&lt;&gt;Anmeldung!$O$40),Anmeldung!$B$25&amp;": "&amp;Anmeldung!$D$25&amp;", "&amp;Anmeldung!$E$25&amp;" / "&amp;Anmeldung!$G$25&amp;" / "&amp;Anmeldung!$J$25,"")</f>
        <v/>
      </c>
      <c r="FX12" t="str">
        <f>IF(AND(18&lt;&gt;33,Anmeldung!$D$25&lt;&gt;"",Anmeldung!$G$25&lt;&gt;Anmeldung!$G$40,(Anmeldung!$B$25&amp;": "&amp;Anmeldung!$D$25&amp;", "&amp;Anmeldung!$E$25&amp;" / "&amp;Anmeldung!$G$25&amp;" / "&amp;Anmeldung!$J$25)&lt;&gt;Anmeldung!$S$40),Anmeldung!$B$25&amp;": "&amp;Anmeldung!$D$25&amp;", "&amp;Anmeldung!$E$25&amp;" / "&amp;Anmeldung!$G$25&amp;" / "&amp;Anmeldung!$J$25,"")</f>
        <v/>
      </c>
      <c r="FY12" t="str">
        <f>IF(AND(18&lt;&gt;33,Anmeldung!$D$25&lt;&gt;"",(Anmeldung!$B$25&amp;": "&amp;Anmeldung!$D$25&amp;", "&amp;Anmeldung!$E$25&amp;" / "&amp;Anmeldung!$G$25&amp;" / "&amp;Anmeldung!$J$25)&lt;&gt;Anmeldung!$R$40),Anmeldung!$B$25&amp;": "&amp;Anmeldung!$D$25&amp;", "&amp;Anmeldung!$E$25&amp;" / "&amp;Anmeldung!$G$25&amp;" / "&amp;Anmeldung!$J$25,"")</f>
        <v/>
      </c>
      <c r="FZ12" t="str">
        <f>IF(AND(17&lt;&gt;32,Anmeldung!$D$25&lt;&gt;"",Anmeldung!$U$25="Ja",Anmeldung!$G$25=Anmeldung!$G$40,Anmeldung!$J$25=Anmeldung!$J$40),Anmeldung!$B$25&amp;": "&amp;Anmeldung!$D$25&amp;", "&amp;Anmeldung!$E$25&amp;" / "&amp;Anmeldung!$G$25&amp;" / "&amp;Anmeldung!$J$25,"")</f>
        <v/>
      </c>
      <c r="GC12" t="str">
        <f>IF(AND(18&lt;&gt;34,Anmeldung!$D$25&lt;&gt;"",Anmeldung!$G$25=Anmeldung!$G$41,Anmeldung!$J$25=Anmeldung!$J$41),Anmeldung!$B$25&amp;": "&amp;Anmeldung!$D$25&amp;", "&amp;Anmeldung!$E$25&amp;" / "&amp;Anmeldung!$G$25&amp;" / "&amp;Anmeldung!$J$25,"")</f>
        <v/>
      </c>
      <c r="GD12" t="str">
        <f>IF(AND(18&lt;&gt;34,Anmeldung!$D$25&lt;&gt;"",Anmeldung!$G$25=Anmeldung!$G$41,Anmeldung!$J$25=Anmeldung!$J$41,(Anmeldung!$B$25&amp;": "&amp;Anmeldung!$D$25&amp;", "&amp;Anmeldung!$E$25&amp;" / "&amp;Anmeldung!$G$25&amp;" / "&amp;Anmeldung!$J$25)&lt;&gt;Anmeldung!$P$41),Anmeldung!$B$25&amp;": "&amp;Anmeldung!$D$25&amp;", "&amp;Anmeldung!$E$25&amp;" / "&amp;Anmeldung!$G$25&amp;" / "&amp;Anmeldung!$J$25,"")</f>
        <v/>
      </c>
      <c r="GE12" t="str">
        <f>IF(AND(18&lt;&gt;34,Anmeldung!$D$25&lt;&gt;"",Anmeldung!$G$25=Anmeldung!$G$41,Anmeldung!$J$25=Anmeldung!$J$41,(Anmeldung!$B$25&amp;": "&amp;Anmeldung!$D$25&amp;", "&amp;Anmeldung!$E$25&amp;" / "&amp;Anmeldung!$G$25&amp;" / "&amp;Anmeldung!$J$25)&lt;&gt;Anmeldung!$O$41),Anmeldung!$B$25&amp;": "&amp;Anmeldung!$D$25&amp;", "&amp;Anmeldung!$E$25&amp;" / "&amp;Anmeldung!$G$25&amp;" / "&amp;Anmeldung!$J$25,"")</f>
        <v/>
      </c>
      <c r="GF12" t="str">
        <f>IF(AND(18&lt;&gt;34,Anmeldung!$D$25&lt;&gt;"",Anmeldung!$G$25&lt;&gt;Anmeldung!$G$41,(Anmeldung!$B$25&amp;": "&amp;Anmeldung!$D$25&amp;", "&amp;Anmeldung!$E$25&amp;" / "&amp;Anmeldung!$G$25&amp;" / "&amp;Anmeldung!$J$25)&lt;&gt;Anmeldung!$S$41),Anmeldung!$B$25&amp;": "&amp;Anmeldung!$D$25&amp;", "&amp;Anmeldung!$E$25&amp;" / "&amp;Anmeldung!$G$25&amp;" / "&amp;Anmeldung!$J$25,"")</f>
        <v/>
      </c>
      <c r="GG12" t="str">
        <f>IF(AND(18&lt;&gt;34,Anmeldung!$D$25&lt;&gt;"",(Anmeldung!$B$25&amp;": "&amp;Anmeldung!$D$25&amp;", "&amp;Anmeldung!$E$25&amp;" / "&amp;Anmeldung!$G$25&amp;" / "&amp;Anmeldung!$J$25)&lt;&gt;Anmeldung!$R$41),Anmeldung!$B$25&amp;": "&amp;Anmeldung!$D$25&amp;", "&amp;Anmeldung!$E$25&amp;" / "&amp;Anmeldung!$G$25&amp;" / "&amp;Anmeldung!$J$25,"")</f>
        <v/>
      </c>
      <c r="GH12" t="str">
        <f>IF(AND(17&lt;&gt;33,Anmeldung!$D$25&lt;&gt;"",Anmeldung!$U$25="Ja",Anmeldung!$G$25=Anmeldung!$G$41,Anmeldung!$J$25=Anmeldung!$J$41),Anmeldung!$B$25&amp;": "&amp;Anmeldung!$D$25&amp;", "&amp;Anmeldung!$E$25&amp;" / "&amp;Anmeldung!$G$25&amp;" / "&amp;Anmeldung!$J$25,"")</f>
        <v/>
      </c>
      <c r="GK12" t="str">
        <f>IF(AND(18&lt;&gt;35,Anmeldung!$D$25&lt;&gt;"",Anmeldung!$G$25=Anmeldung!$G$42,Anmeldung!$J$25=Anmeldung!$J$42),Anmeldung!$B$25&amp;": "&amp;Anmeldung!$D$25&amp;", "&amp;Anmeldung!$E$25&amp;" / "&amp;Anmeldung!$G$25&amp;" / "&amp;Anmeldung!$J$25,"")</f>
        <v/>
      </c>
      <c r="GL12" t="str">
        <f>IF(AND(18&lt;&gt;35,Anmeldung!$D$25&lt;&gt;"",Anmeldung!$G$25=Anmeldung!$G$42,Anmeldung!$J$25=Anmeldung!$J$42,(Anmeldung!$B$25&amp;": "&amp;Anmeldung!$D$25&amp;", "&amp;Anmeldung!$E$25&amp;" / "&amp;Anmeldung!$G$25&amp;" / "&amp;Anmeldung!$J$25)&lt;&gt;Anmeldung!$P$42),Anmeldung!$B$25&amp;": "&amp;Anmeldung!$D$25&amp;", "&amp;Anmeldung!$E$25&amp;" / "&amp;Anmeldung!$G$25&amp;" / "&amp;Anmeldung!$J$25,"")</f>
        <v/>
      </c>
      <c r="GM12" t="str">
        <f>IF(AND(18&lt;&gt;35,Anmeldung!$D$25&lt;&gt;"",Anmeldung!$G$25=Anmeldung!$G$42,Anmeldung!$J$25=Anmeldung!$J$42,(Anmeldung!$B$25&amp;": "&amp;Anmeldung!$D$25&amp;", "&amp;Anmeldung!$E$25&amp;" / "&amp;Anmeldung!$G$25&amp;" / "&amp;Anmeldung!$J$25)&lt;&gt;Anmeldung!$O$42),Anmeldung!$B$25&amp;": "&amp;Anmeldung!$D$25&amp;", "&amp;Anmeldung!$E$25&amp;" / "&amp;Anmeldung!$G$25&amp;" / "&amp;Anmeldung!$J$25,"")</f>
        <v/>
      </c>
      <c r="GN12" t="str">
        <f>IF(AND(18&lt;&gt;35,Anmeldung!$D$25&lt;&gt;"",Anmeldung!$G$25&lt;&gt;Anmeldung!$G$42,(Anmeldung!$B$25&amp;": "&amp;Anmeldung!$D$25&amp;", "&amp;Anmeldung!$E$25&amp;" / "&amp;Anmeldung!$G$25&amp;" / "&amp;Anmeldung!$J$25)&lt;&gt;Anmeldung!$S$42),Anmeldung!$B$25&amp;": "&amp;Anmeldung!$D$25&amp;", "&amp;Anmeldung!$E$25&amp;" / "&amp;Anmeldung!$G$25&amp;" / "&amp;Anmeldung!$J$25,"")</f>
        <v/>
      </c>
      <c r="GO12" t="str">
        <f>IF(AND(18&lt;&gt;35,Anmeldung!$D$25&lt;&gt;"",(Anmeldung!$B$25&amp;": "&amp;Anmeldung!$D$25&amp;", "&amp;Anmeldung!$E$25&amp;" / "&amp;Anmeldung!$G$25&amp;" / "&amp;Anmeldung!$J$25)&lt;&gt;Anmeldung!$R$42),Anmeldung!$B$25&amp;": "&amp;Anmeldung!$D$25&amp;", "&amp;Anmeldung!$E$25&amp;" / "&amp;Anmeldung!$G$25&amp;" / "&amp;Anmeldung!$J$25,"")</f>
        <v/>
      </c>
      <c r="GP12" t="str">
        <f>IF(AND(17&lt;&gt;34,Anmeldung!$D$25&lt;&gt;"",Anmeldung!$U$25="Ja",Anmeldung!$G$25=Anmeldung!$G$42,Anmeldung!$J$25=Anmeldung!$J$42),Anmeldung!$B$25&amp;": "&amp;Anmeldung!$D$25&amp;", "&amp;Anmeldung!$E$25&amp;" / "&amp;Anmeldung!$G$25&amp;" / "&amp;Anmeldung!$J$25,"")</f>
        <v/>
      </c>
      <c r="GS12" t="str">
        <f>IF(AND(18&lt;&gt;36,Anmeldung!$D$25&lt;&gt;"",Anmeldung!$G$25=Anmeldung!$G$43,Anmeldung!$J$25=Anmeldung!$J$43),Anmeldung!$B$25&amp;": "&amp;Anmeldung!$D$25&amp;", "&amp;Anmeldung!$E$25&amp;" / "&amp;Anmeldung!$G$25&amp;" / "&amp;Anmeldung!$J$25,"")</f>
        <v/>
      </c>
      <c r="GT12" t="str">
        <f>IF(AND(18&lt;&gt;36,Anmeldung!$D$25&lt;&gt;"",Anmeldung!$G$25=Anmeldung!$G$43,Anmeldung!$J$25=Anmeldung!$J$43,(Anmeldung!$B$25&amp;": "&amp;Anmeldung!$D$25&amp;", "&amp;Anmeldung!$E$25&amp;" / "&amp;Anmeldung!$G$25&amp;" / "&amp;Anmeldung!$J$25)&lt;&gt;Anmeldung!$P$43),Anmeldung!$B$25&amp;": "&amp;Anmeldung!$D$25&amp;", "&amp;Anmeldung!$E$25&amp;" / "&amp;Anmeldung!$G$25&amp;" / "&amp;Anmeldung!$J$25,"")</f>
        <v/>
      </c>
      <c r="GU12" t="str">
        <f>IF(AND(18&lt;&gt;36,Anmeldung!$D$25&lt;&gt;"",Anmeldung!$G$25=Anmeldung!$G$43,Anmeldung!$J$25=Anmeldung!$J$43,(Anmeldung!$B$25&amp;": "&amp;Anmeldung!$D$25&amp;", "&amp;Anmeldung!$E$25&amp;" / "&amp;Anmeldung!$G$25&amp;" / "&amp;Anmeldung!$J$25)&lt;&gt;Anmeldung!$O$43),Anmeldung!$B$25&amp;": "&amp;Anmeldung!$D$25&amp;", "&amp;Anmeldung!$E$25&amp;" / "&amp;Anmeldung!$G$25&amp;" / "&amp;Anmeldung!$J$25,"")</f>
        <v/>
      </c>
      <c r="GV12" t="str">
        <f>IF(AND(18&lt;&gt;36,Anmeldung!$D$25&lt;&gt;"",Anmeldung!$G$25&lt;&gt;Anmeldung!$G$43,(Anmeldung!$B$25&amp;": "&amp;Anmeldung!$D$25&amp;", "&amp;Anmeldung!$E$25&amp;" / "&amp;Anmeldung!$G$25&amp;" / "&amp;Anmeldung!$J$25)&lt;&gt;Anmeldung!$S$43),Anmeldung!$B$25&amp;": "&amp;Anmeldung!$D$25&amp;", "&amp;Anmeldung!$E$25&amp;" / "&amp;Anmeldung!$G$25&amp;" / "&amp;Anmeldung!$J$25,"")</f>
        <v/>
      </c>
      <c r="GW12" t="str">
        <f>IF(AND(18&lt;&gt;36,Anmeldung!$D$25&lt;&gt;"",(Anmeldung!$B$25&amp;": "&amp;Anmeldung!$D$25&amp;", "&amp;Anmeldung!$E$25&amp;" / "&amp;Anmeldung!$G$25&amp;" / "&amp;Anmeldung!$J$25)&lt;&gt;Anmeldung!$R$43),Anmeldung!$B$25&amp;": "&amp;Anmeldung!$D$25&amp;", "&amp;Anmeldung!$E$25&amp;" / "&amp;Anmeldung!$G$25&amp;" / "&amp;Anmeldung!$J$25,"")</f>
        <v/>
      </c>
      <c r="GX12" t="str">
        <f>IF(AND(17&lt;&gt;35,Anmeldung!$D$25&lt;&gt;"",Anmeldung!$U$25="Ja",Anmeldung!$G$25=Anmeldung!$G$43,Anmeldung!$J$25=Anmeldung!$J$43),Anmeldung!$B$25&amp;": "&amp;Anmeldung!$D$25&amp;", "&amp;Anmeldung!$E$25&amp;" / "&amp;Anmeldung!$G$25&amp;" / "&amp;Anmeldung!$J$25,"")</f>
        <v/>
      </c>
      <c r="HA12" t="str">
        <f>IF(AND(18&lt;&gt;37,Anmeldung!$D$25&lt;&gt;"",Anmeldung!$G$25=Anmeldung!$G$44,Anmeldung!$J$25=Anmeldung!$J$44),Anmeldung!$B$25&amp;": "&amp;Anmeldung!$D$25&amp;", "&amp;Anmeldung!$E$25&amp;" / "&amp;Anmeldung!$G$25&amp;" / "&amp;Anmeldung!$J$25,"")</f>
        <v/>
      </c>
      <c r="HB12" t="str">
        <f>IF(AND(18&lt;&gt;37,Anmeldung!$D$25&lt;&gt;"",Anmeldung!$G$25=Anmeldung!$G$44,Anmeldung!$J$25=Anmeldung!$J$44,(Anmeldung!$B$25&amp;": "&amp;Anmeldung!$D$25&amp;", "&amp;Anmeldung!$E$25&amp;" / "&amp;Anmeldung!$G$25&amp;" / "&amp;Anmeldung!$J$25)&lt;&gt;Anmeldung!$P$44),Anmeldung!$B$25&amp;": "&amp;Anmeldung!$D$25&amp;", "&amp;Anmeldung!$E$25&amp;" / "&amp;Anmeldung!$G$25&amp;" / "&amp;Anmeldung!$J$25,"")</f>
        <v/>
      </c>
      <c r="HC12" t="str">
        <f>IF(AND(18&lt;&gt;37,Anmeldung!$D$25&lt;&gt;"",Anmeldung!$G$25=Anmeldung!$G$44,Anmeldung!$J$25=Anmeldung!$J$44,(Anmeldung!$B$25&amp;": "&amp;Anmeldung!$D$25&amp;", "&amp;Anmeldung!$E$25&amp;" / "&amp;Anmeldung!$G$25&amp;" / "&amp;Anmeldung!$J$25)&lt;&gt;Anmeldung!$O$44),Anmeldung!$B$25&amp;": "&amp;Anmeldung!$D$25&amp;", "&amp;Anmeldung!$E$25&amp;" / "&amp;Anmeldung!$G$25&amp;" / "&amp;Anmeldung!$J$25,"")</f>
        <v/>
      </c>
      <c r="HD12" t="str">
        <f>IF(AND(18&lt;&gt;37,Anmeldung!$D$25&lt;&gt;"",Anmeldung!$G$25&lt;&gt;Anmeldung!$G$44,(Anmeldung!$B$25&amp;": "&amp;Anmeldung!$D$25&amp;", "&amp;Anmeldung!$E$25&amp;" / "&amp;Anmeldung!$G$25&amp;" / "&amp;Anmeldung!$J$25)&lt;&gt;Anmeldung!$S$44),Anmeldung!$B$25&amp;": "&amp;Anmeldung!$D$25&amp;", "&amp;Anmeldung!$E$25&amp;" / "&amp;Anmeldung!$G$25&amp;" / "&amp;Anmeldung!$J$25,"")</f>
        <v/>
      </c>
      <c r="HE12" t="str">
        <f>IF(AND(18&lt;&gt;37,Anmeldung!$D$25&lt;&gt;"",(Anmeldung!$B$25&amp;": "&amp;Anmeldung!$D$25&amp;", "&amp;Anmeldung!$E$25&amp;" / "&amp;Anmeldung!$G$25&amp;" / "&amp;Anmeldung!$J$25)&lt;&gt;Anmeldung!$R$44),Anmeldung!$B$25&amp;": "&amp;Anmeldung!$D$25&amp;", "&amp;Anmeldung!$E$25&amp;" / "&amp;Anmeldung!$G$25&amp;" / "&amp;Anmeldung!$J$25,"")</f>
        <v/>
      </c>
      <c r="HF12" t="str">
        <f>IF(AND(17&lt;&gt;36,Anmeldung!$D$25&lt;&gt;"",Anmeldung!$U$25="Ja",Anmeldung!$G$25=Anmeldung!$G$44,Anmeldung!$J$25=Anmeldung!$J$44),Anmeldung!$B$25&amp;": "&amp;Anmeldung!$D$25&amp;", "&amp;Anmeldung!$E$25&amp;" / "&amp;Anmeldung!$G$25&amp;" / "&amp;Anmeldung!$J$25,"")</f>
        <v/>
      </c>
      <c r="HI12" t="str">
        <f>IF(AND(18&lt;&gt;38,Anmeldung!$D$25&lt;&gt;"",Anmeldung!$G$25=Anmeldung!$G$45,Anmeldung!$J$25=Anmeldung!$J$45),Anmeldung!$B$25&amp;": "&amp;Anmeldung!$D$25&amp;", "&amp;Anmeldung!$E$25&amp;" / "&amp;Anmeldung!$G$25&amp;" / "&amp;Anmeldung!$J$25,"")</f>
        <v/>
      </c>
      <c r="HJ12" t="str">
        <f>IF(AND(18&lt;&gt;38,Anmeldung!$D$25&lt;&gt;"",Anmeldung!$G$25=Anmeldung!$G$45,Anmeldung!$J$25=Anmeldung!$J$45,(Anmeldung!$B$25&amp;": "&amp;Anmeldung!$D$25&amp;", "&amp;Anmeldung!$E$25&amp;" / "&amp;Anmeldung!$G$25&amp;" / "&amp;Anmeldung!$J$25)&lt;&gt;Anmeldung!$P$45),Anmeldung!$B$25&amp;": "&amp;Anmeldung!$D$25&amp;", "&amp;Anmeldung!$E$25&amp;" / "&amp;Anmeldung!$G$25&amp;" / "&amp;Anmeldung!$J$25,"")</f>
        <v/>
      </c>
      <c r="HK12" t="str">
        <f>IF(AND(18&lt;&gt;38,Anmeldung!$D$25&lt;&gt;"",Anmeldung!$G$25=Anmeldung!$G$45,Anmeldung!$J$25=Anmeldung!$J$45,(Anmeldung!$B$25&amp;": "&amp;Anmeldung!$D$25&amp;", "&amp;Anmeldung!$E$25&amp;" / "&amp;Anmeldung!$G$25&amp;" / "&amp;Anmeldung!$J$25)&lt;&gt;Anmeldung!$O$45),Anmeldung!$B$25&amp;": "&amp;Anmeldung!$D$25&amp;", "&amp;Anmeldung!$E$25&amp;" / "&amp;Anmeldung!$G$25&amp;" / "&amp;Anmeldung!$J$25,"")</f>
        <v/>
      </c>
      <c r="HL12" t="str">
        <f>IF(AND(18&lt;&gt;38,Anmeldung!$D$25&lt;&gt;"",Anmeldung!$G$25&lt;&gt;Anmeldung!$G$45,(Anmeldung!$B$25&amp;": "&amp;Anmeldung!$D$25&amp;", "&amp;Anmeldung!$E$25&amp;" / "&amp;Anmeldung!$G$25&amp;" / "&amp;Anmeldung!$J$25)&lt;&gt;Anmeldung!$S$45),Anmeldung!$B$25&amp;": "&amp;Anmeldung!$D$25&amp;", "&amp;Anmeldung!$E$25&amp;" / "&amp;Anmeldung!$G$25&amp;" / "&amp;Anmeldung!$J$25,"")</f>
        <v/>
      </c>
      <c r="HM12" t="str">
        <f>IF(AND(18&lt;&gt;38,Anmeldung!$D$25&lt;&gt;"",(Anmeldung!$B$25&amp;": "&amp;Anmeldung!$D$25&amp;", "&amp;Anmeldung!$E$25&amp;" / "&amp;Anmeldung!$G$25&amp;" / "&amp;Anmeldung!$J$25)&lt;&gt;Anmeldung!$R$45),Anmeldung!$B$25&amp;": "&amp;Anmeldung!$D$25&amp;", "&amp;Anmeldung!$E$25&amp;" / "&amp;Anmeldung!$G$25&amp;" / "&amp;Anmeldung!$J$25,"")</f>
        <v/>
      </c>
      <c r="HN12" t="str">
        <f>IF(AND(17&lt;&gt;37,Anmeldung!$D$25&lt;&gt;"",Anmeldung!$U$25="Ja",Anmeldung!$G$25=Anmeldung!$G$45,Anmeldung!$J$25=Anmeldung!$J$45),Anmeldung!$B$25&amp;": "&amp;Anmeldung!$D$25&amp;", "&amp;Anmeldung!$E$25&amp;" / "&amp;Anmeldung!$G$25&amp;" / "&amp;Anmeldung!$J$25,"")</f>
        <v/>
      </c>
      <c r="HQ12" t="str">
        <f>IF(AND(18&lt;&gt;39,Anmeldung!$D$25&lt;&gt;"",Anmeldung!$G$25=Anmeldung!$G$46,Anmeldung!$J$25=Anmeldung!$J$46),Anmeldung!$B$25&amp;": "&amp;Anmeldung!$D$25&amp;", "&amp;Anmeldung!$E$25&amp;" / "&amp;Anmeldung!$G$25&amp;" / "&amp;Anmeldung!$J$25,"")</f>
        <v/>
      </c>
      <c r="HR12" t="str">
        <f>IF(AND(18&lt;&gt;39,Anmeldung!$D$25&lt;&gt;"",Anmeldung!$G$25=Anmeldung!$G$46,Anmeldung!$J$25=Anmeldung!$J$46,(Anmeldung!$B$25&amp;": "&amp;Anmeldung!$D$25&amp;", "&amp;Anmeldung!$E$25&amp;" / "&amp;Anmeldung!$G$25&amp;" / "&amp;Anmeldung!$J$25)&lt;&gt;Anmeldung!$P$46),Anmeldung!$B$25&amp;": "&amp;Anmeldung!$D$25&amp;", "&amp;Anmeldung!$E$25&amp;" / "&amp;Anmeldung!$G$25&amp;" / "&amp;Anmeldung!$J$25,"")</f>
        <v/>
      </c>
      <c r="HS12" t="str">
        <f>IF(AND(18&lt;&gt;39,Anmeldung!$D$25&lt;&gt;"",Anmeldung!$G$25=Anmeldung!$G$46,Anmeldung!$J$25=Anmeldung!$J$46,(Anmeldung!$B$25&amp;": "&amp;Anmeldung!$D$25&amp;", "&amp;Anmeldung!$E$25&amp;" / "&amp;Anmeldung!$G$25&amp;" / "&amp;Anmeldung!$J$25)&lt;&gt;Anmeldung!$O$46),Anmeldung!$B$25&amp;": "&amp;Anmeldung!$D$25&amp;", "&amp;Anmeldung!$E$25&amp;" / "&amp;Anmeldung!$G$25&amp;" / "&amp;Anmeldung!$J$25,"")</f>
        <v/>
      </c>
      <c r="HT12" t="str">
        <f>IF(AND(18&lt;&gt;39,Anmeldung!$D$25&lt;&gt;"",Anmeldung!$G$25&lt;&gt;Anmeldung!$G$46,(Anmeldung!$B$25&amp;": "&amp;Anmeldung!$D$25&amp;", "&amp;Anmeldung!$E$25&amp;" / "&amp;Anmeldung!$G$25&amp;" / "&amp;Anmeldung!$J$25)&lt;&gt;Anmeldung!$S$46),Anmeldung!$B$25&amp;": "&amp;Anmeldung!$D$25&amp;", "&amp;Anmeldung!$E$25&amp;" / "&amp;Anmeldung!$G$25&amp;" / "&amp;Anmeldung!$J$25,"")</f>
        <v/>
      </c>
      <c r="HU12" t="str">
        <f>IF(AND(18&lt;&gt;39,Anmeldung!$D$25&lt;&gt;"",(Anmeldung!$B$25&amp;": "&amp;Anmeldung!$D$25&amp;", "&amp;Anmeldung!$E$25&amp;" / "&amp;Anmeldung!$G$25&amp;" / "&amp;Anmeldung!$J$25)&lt;&gt;Anmeldung!$R$46),Anmeldung!$B$25&amp;": "&amp;Anmeldung!$D$25&amp;", "&amp;Anmeldung!$E$25&amp;" / "&amp;Anmeldung!$G$25&amp;" / "&amp;Anmeldung!$J$25,"")</f>
        <v/>
      </c>
      <c r="HV12" t="str">
        <f>IF(AND(17&lt;&gt;38,Anmeldung!$D$25&lt;&gt;"",Anmeldung!$U$25="Ja",Anmeldung!$G$25=Anmeldung!$G$46,Anmeldung!$J$25=Anmeldung!$J$46),Anmeldung!$B$25&amp;": "&amp;Anmeldung!$D$25&amp;", "&amp;Anmeldung!$E$25&amp;" / "&amp;Anmeldung!$G$25&amp;" / "&amp;Anmeldung!$J$25,"")</f>
        <v/>
      </c>
      <c r="HY12" t="str">
        <f>IF(AND(18&lt;&gt;40,Anmeldung!$D$25&lt;&gt;"",Anmeldung!$G$25=Anmeldung!$G$47,Anmeldung!$J$25=Anmeldung!$J$47),Anmeldung!$B$25&amp;": "&amp;Anmeldung!$D$25&amp;", "&amp;Anmeldung!$E$25&amp;" / "&amp;Anmeldung!$G$25&amp;" / "&amp;Anmeldung!$J$25,"")</f>
        <v/>
      </c>
      <c r="HZ12" t="str">
        <f>IF(AND(18&lt;&gt;40,Anmeldung!$D$25&lt;&gt;"",Anmeldung!$G$25=Anmeldung!$G$47,Anmeldung!$J$25=Anmeldung!$J$47,(Anmeldung!$B$25&amp;": "&amp;Anmeldung!$D$25&amp;", "&amp;Anmeldung!$E$25&amp;" / "&amp;Anmeldung!$G$25&amp;" / "&amp;Anmeldung!$J$25)&lt;&gt;Anmeldung!$P$47),Anmeldung!$B$25&amp;": "&amp;Anmeldung!$D$25&amp;", "&amp;Anmeldung!$E$25&amp;" / "&amp;Anmeldung!$G$25&amp;" / "&amp;Anmeldung!$J$25,"")</f>
        <v/>
      </c>
      <c r="IA12" t="str">
        <f>IF(AND(18&lt;&gt;40,Anmeldung!$D$25&lt;&gt;"",Anmeldung!$G$25=Anmeldung!$G$47,Anmeldung!$J$25=Anmeldung!$J$47,(Anmeldung!$B$25&amp;": "&amp;Anmeldung!$D$25&amp;", "&amp;Anmeldung!$E$25&amp;" / "&amp;Anmeldung!$G$25&amp;" / "&amp;Anmeldung!$J$25)&lt;&gt;Anmeldung!$O$47),Anmeldung!$B$25&amp;": "&amp;Anmeldung!$D$25&amp;", "&amp;Anmeldung!$E$25&amp;" / "&amp;Anmeldung!$G$25&amp;" / "&amp;Anmeldung!$J$25,"")</f>
        <v/>
      </c>
      <c r="IB12" t="str">
        <f>IF(AND(18&lt;&gt;40,Anmeldung!$D$25&lt;&gt;"",Anmeldung!$G$25&lt;&gt;Anmeldung!$G$47,(Anmeldung!$B$25&amp;": "&amp;Anmeldung!$D$25&amp;", "&amp;Anmeldung!$E$25&amp;" / "&amp;Anmeldung!$G$25&amp;" / "&amp;Anmeldung!$J$25)&lt;&gt;Anmeldung!$S$47),Anmeldung!$B$25&amp;": "&amp;Anmeldung!$D$25&amp;", "&amp;Anmeldung!$E$25&amp;" / "&amp;Anmeldung!$G$25&amp;" / "&amp;Anmeldung!$J$25,"")</f>
        <v/>
      </c>
      <c r="IC12" t="str">
        <f>IF(AND(18&lt;&gt;40,Anmeldung!$D$25&lt;&gt;"",(Anmeldung!$B$25&amp;": "&amp;Anmeldung!$D$25&amp;", "&amp;Anmeldung!$E$25&amp;" / "&amp;Anmeldung!$G$25&amp;" / "&amp;Anmeldung!$J$25)&lt;&gt;Anmeldung!$R$47),Anmeldung!$B$25&amp;": "&amp;Anmeldung!$D$25&amp;", "&amp;Anmeldung!$E$25&amp;" / "&amp;Anmeldung!$G$25&amp;" / "&amp;Anmeldung!$J$25,"")</f>
        <v/>
      </c>
      <c r="ID12" t="str">
        <f>IF(AND(17&lt;&gt;39,Anmeldung!$D$25&lt;&gt;"",Anmeldung!$U$25="Ja",Anmeldung!$G$25=Anmeldung!$G$47,Anmeldung!$J$25=Anmeldung!$J$47),Anmeldung!$B$25&amp;": "&amp;Anmeldung!$D$25&amp;", "&amp;Anmeldung!$E$25&amp;" / "&amp;Anmeldung!$G$25&amp;" / "&amp;Anmeldung!$J$25,"")</f>
        <v/>
      </c>
    </row>
    <row r="13" spans="1:238" ht="14.25" customHeight="1" x14ac:dyDescent="0.3">
      <c r="A13" t="str">
        <f>IF(AND(19&lt;&gt;11,Anmeldung!$D$26&lt;&gt;"",Anmeldung!$G$26=Anmeldung!$G$18,Anmeldung!$J$26=Anmeldung!$J$18),Anmeldung!$B$26&amp;": "&amp;Anmeldung!$D$26&amp;", "&amp;Anmeldung!$E$26&amp;" / "&amp;Anmeldung!$G$26&amp;" / "&amp;Anmeldung!$J$26,"")</f>
        <v/>
      </c>
      <c r="B13" t="str">
        <f>IF(AND(19&lt;&gt;11,Anmeldung!$D$26&lt;&gt;"",Anmeldung!$G$26=Anmeldung!$G$18,Anmeldung!$J$26=Anmeldung!$J$18,(Anmeldung!$B$26&amp;": "&amp;Anmeldung!$D$26&amp;", "&amp;Anmeldung!$E$26&amp;" / "&amp;Anmeldung!$G$26&amp;" / "&amp;Anmeldung!$J$26)&lt;&gt;Anmeldung!$P$18),Anmeldung!$B$26&amp;": "&amp;Anmeldung!$D$26&amp;", "&amp;Anmeldung!$E$26&amp;" / "&amp;Anmeldung!$G$26&amp;" / "&amp;Anmeldung!$J$26,"")</f>
        <v/>
      </c>
      <c r="C13" t="str">
        <f>IF(AND(19&lt;&gt;11,Anmeldung!$D$26&lt;&gt;"",Anmeldung!$G$26=Anmeldung!$G$18,Anmeldung!$J$26=Anmeldung!$J$18,(Anmeldung!$B$26&amp;": "&amp;Anmeldung!$D$26&amp;", "&amp;Anmeldung!$E$26&amp;" / "&amp;Anmeldung!$G$26&amp;" / "&amp;Anmeldung!$J$26)&lt;&gt;Anmeldung!$O$18),Anmeldung!$B$26&amp;": "&amp;Anmeldung!$D$26&amp;", "&amp;Anmeldung!$E$26&amp;" / "&amp;Anmeldung!$G$26&amp;" / "&amp;Anmeldung!$J$26,"")</f>
        <v/>
      </c>
      <c r="D13" t="str">
        <f>IF(AND(19&lt;&gt;11,Anmeldung!$D$26&lt;&gt;"",Anmeldung!$G$26&lt;&gt;Anmeldung!$G$18,(Anmeldung!$B$26&amp;": "&amp;Anmeldung!$D$26&amp;", "&amp;Anmeldung!$E$26&amp;" / "&amp;Anmeldung!$G$26&amp;" / "&amp;Anmeldung!$J$26)&lt;&gt;Anmeldung!$S$18),Anmeldung!$B$26&amp;": "&amp;Anmeldung!$D$26&amp;", "&amp;Anmeldung!$E$26&amp;" / "&amp;Anmeldung!$G$26&amp;" / "&amp;Anmeldung!$J$26,"")</f>
        <v/>
      </c>
      <c r="E13" t="str">
        <f>IF(AND(19&lt;&gt;11,Anmeldung!$D$26&lt;&gt;"",(Anmeldung!$B$26&amp;": "&amp;Anmeldung!$D$26&amp;", "&amp;Anmeldung!$E$26&amp;" / "&amp;Anmeldung!$G$26&amp;" / "&amp;Anmeldung!$J$26)&lt;&gt;Anmeldung!$R$18),Anmeldung!$B$26&amp;": "&amp;Anmeldung!$D$26&amp;", "&amp;Anmeldung!$E$26&amp;" / "&amp;Anmeldung!$G$26&amp;" / "&amp;Anmeldung!$J$26,"")</f>
        <v/>
      </c>
      <c r="F13" t="str">
        <f>IF(AND(18&lt;&gt;10,Anmeldung!$D$26&lt;&gt;"",Anmeldung!$U$26="Ja",Anmeldung!$G$26=Anmeldung!$G$18,Anmeldung!$J$26=Anmeldung!$J$18),Anmeldung!$B$26&amp;": "&amp;Anmeldung!$D$26&amp;", "&amp;Anmeldung!$E$26&amp;" / "&amp;Anmeldung!$G$26&amp;" / "&amp;Anmeldung!$J$26,"")</f>
        <v/>
      </c>
      <c r="I13" t="str">
        <f>IF(AND(19&lt;&gt;12,Anmeldung!$D$26&lt;&gt;"",Anmeldung!$G$26=Anmeldung!$G$19,Anmeldung!$J$26=Anmeldung!$J$19),Anmeldung!$B$26&amp;": "&amp;Anmeldung!$D$26&amp;", "&amp;Anmeldung!$E$26&amp;" / "&amp;Anmeldung!$G$26&amp;" / "&amp;Anmeldung!$J$26,"")</f>
        <v/>
      </c>
      <c r="J13" t="str">
        <f>IF(AND(19&lt;&gt;12,Anmeldung!$D$26&lt;&gt;"",Anmeldung!$G$26=Anmeldung!$G$19,Anmeldung!$J$26=Anmeldung!$J$19,(Anmeldung!$B$26&amp;": "&amp;Anmeldung!$D$26&amp;", "&amp;Anmeldung!$E$26&amp;" / "&amp;Anmeldung!$G$26&amp;" / "&amp;Anmeldung!$J$26)&lt;&gt;Anmeldung!$P$19),Anmeldung!$B$26&amp;": "&amp;Anmeldung!$D$26&amp;", "&amp;Anmeldung!$E$26&amp;" / "&amp;Anmeldung!$G$26&amp;" / "&amp;Anmeldung!$J$26,"")</f>
        <v/>
      </c>
      <c r="K13" t="str">
        <f>IF(AND(19&lt;&gt;12,Anmeldung!$D$26&lt;&gt;"",Anmeldung!$G$26=Anmeldung!$G$19,Anmeldung!$J$26=Anmeldung!$J$19,(Anmeldung!$B$26&amp;": "&amp;Anmeldung!$D$26&amp;", "&amp;Anmeldung!$E$26&amp;" / "&amp;Anmeldung!$G$26&amp;" / "&amp;Anmeldung!$J$26)&lt;&gt;Anmeldung!$O$19),Anmeldung!$B$26&amp;": "&amp;Anmeldung!$D$26&amp;", "&amp;Anmeldung!$E$26&amp;" / "&amp;Anmeldung!$G$26&amp;" / "&amp;Anmeldung!$J$26,"")</f>
        <v/>
      </c>
      <c r="L13" t="str">
        <f>IF(AND(19&lt;&gt;12,Anmeldung!$D$26&lt;&gt;"",Anmeldung!$G$26&lt;&gt;Anmeldung!$G$19,(Anmeldung!$B$26&amp;": "&amp;Anmeldung!$D$26&amp;", "&amp;Anmeldung!$E$26&amp;" / "&amp;Anmeldung!$G$26&amp;" / "&amp;Anmeldung!$J$26)&lt;&gt;Anmeldung!$S$19),Anmeldung!$B$26&amp;": "&amp;Anmeldung!$D$26&amp;", "&amp;Anmeldung!$E$26&amp;" / "&amp;Anmeldung!$G$26&amp;" / "&amp;Anmeldung!$J$26,"")</f>
        <v/>
      </c>
      <c r="M13" t="str">
        <f>IF(AND(19&lt;&gt;12,Anmeldung!$D$26&lt;&gt;"",(Anmeldung!$B$26&amp;": "&amp;Anmeldung!$D$26&amp;", "&amp;Anmeldung!$E$26&amp;" / "&amp;Anmeldung!$G$26&amp;" / "&amp;Anmeldung!$J$26)&lt;&gt;Anmeldung!$R$19),Anmeldung!$B$26&amp;": "&amp;Anmeldung!$D$26&amp;", "&amp;Anmeldung!$E$26&amp;" / "&amp;Anmeldung!$G$26&amp;" / "&amp;Anmeldung!$J$26,"")</f>
        <v/>
      </c>
      <c r="N13" t="str">
        <f>IF(AND(18&lt;&gt;11,Anmeldung!$D$26&lt;&gt;"",Anmeldung!$U$26="Ja",Anmeldung!$G$26=Anmeldung!$G$19,Anmeldung!$J$26=Anmeldung!$J$19),Anmeldung!$B$26&amp;": "&amp;Anmeldung!$D$26&amp;", "&amp;Anmeldung!$E$26&amp;" / "&amp;Anmeldung!$G$26&amp;" / "&amp;Anmeldung!$J$26,"")</f>
        <v/>
      </c>
      <c r="Q13" t="str">
        <f>IF(AND(19&lt;&gt;13,Anmeldung!$D$26&lt;&gt;"",Anmeldung!$G$26=Anmeldung!$G$20,Anmeldung!$J$26=Anmeldung!$J$20),Anmeldung!$B$26&amp;": "&amp;Anmeldung!$D$26&amp;", "&amp;Anmeldung!$E$26&amp;" / "&amp;Anmeldung!$G$26&amp;" / "&amp;Anmeldung!$J$26,"")</f>
        <v/>
      </c>
      <c r="R13" t="str">
        <f>IF(AND(19&lt;&gt;13,Anmeldung!$D$26&lt;&gt;"",Anmeldung!$G$26=Anmeldung!$G$20,Anmeldung!$J$26=Anmeldung!$J$20,(Anmeldung!$B$26&amp;": "&amp;Anmeldung!$D$26&amp;", "&amp;Anmeldung!$E$26&amp;" / "&amp;Anmeldung!$G$26&amp;" / "&amp;Anmeldung!$J$26)&lt;&gt;Anmeldung!$P$20),Anmeldung!$B$26&amp;": "&amp;Anmeldung!$D$26&amp;", "&amp;Anmeldung!$E$26&amp;" / "&amp;Anmeldung!$G$26&amp;" / "&amp;Anmeldung!$J$26,"")</f>
        <v/>
      </c>
      <c r="S13" t="str">
        <f>IF(AND(19&lt;&gt;13,Anmeldung!$D$26&lt;&gt;"",Anmeldung!$G$26=Anmeldung!$G$20,Anmeldung!$J$26=Anmeldung!$J$20,(Anmeldung!$B$26&amp;": "&amp;Anmeldung!$D$26&amp;", "&amp;Anmeldung!$E$26&amp;" / "&amp;Anmeldung!$G$26&amp;" / "&amp;Anmeldung!$J$26)&lt;&gt;Anmeldung!$O$20),Anmeldung!$B$26&amp;": "&amp;Anmeldung!$D$26&amp;", "&amp;Anmeldung!$E$26&amp;" / "&amp;Anmeldung!$G$26&amp;" / "&amp;Anmeldung!$J$26,"")</f>
        <v/>
      </c>
      <c r="T13" t="str">
        <f>IF(AND(19&lt;&gt;13,Anmeldung!$D$26&lt;&gt;"",Anmeldung!$G$26&lt;&gt;Anmeldung!$G$20,(Anmeldung!$B$26&amp;": "&amp;Anmeldung!$D$26&amp;", "&amp;Anmeldung!$E$26&amp;" / "&amp;Anmeldung!$G$26&amp;" / "&amp;Anmeldung!$J$26)&lt;&gt;Anmeldung!$S$20),Anmeldung!$B$26&amp;": "&amp;Anmeldung!$D$26&amp;", "&amp;Anmeldung!$E$26&amp;" / "&amp;Anmeldung!$G$26&amp;" / "&amp;Anmeldung!$J$26,"")</f>
        <v/>
      </c>
      <c r="U13" t="str">
        <f>IF(AND(19&lt;&gt;13,Anmeldung!$D$26&lt;&gt;"",(Anmeldung!$B$26&amp;": "&amp;Anmeldung!$D$26&amp;", "&amp;Anmeldung!$E$26&amp;" / "&amp;Anmeldung!$G$26&amp;" / "&amp;Anmeldung!$J$26)&lt;&gt;Anmeldung!$R$20),Anmeldung!$B$26&amp;": "&amp;Anmeldung!$D$26&amp;", "&amp;Anmeldung!$E$26&amp;" / "&amp;Anmeldung!$G$26&amp;" / "&amp;Anmeldung!$J$26,"")</f>
        <v/>
      </c>
      <c r="V13" t="str">
        <f>IF(AND(18&lt;&gt;12,Anmeldung!$D$26&lt;&gt;"",Anmeldung!$U$26="Ja",Anmeldung!$G$26=Anmeldung!$G$20,Anmeldung!$J$26=Anmeldung!$J$20),Anmeldung!$B$26&amp;": "&amp;Anmeldung!$D$26&amp;", "&amp;Anmeldung!$E$26&amp;" / "&amp;Anmeldung!$G$26&amp;" / "&amp;Anmeldung!$J$26,"")</f>
        <v/>
      </c>
      <c r="Y13" t="str">
        <f>IF(AND(19&lt;&gt;14,Anmeldung!$D$26&lt;&gt;"",Anmeldung!$G$26=Anmeldung!$G$21,Anmeldung!$J$26=Anmeldung!$J$21),Anmeldung!$B$26&amp;": "&amp;Anmeldung!$D$26&amp;", "&amp;Anmeldung!$E$26&amp;" / "&amp;Anmeldung!$G$26&amp;" / "&amp;Anmeldung!$J$26,"")</f>
        <v/>
      </c>
      <c r="Z13" t="str">
        <f>IF(AND(19&lt;&gt;14,Anmeldung!$D$26&lt;&gt;"",Anmeldung!$G$26=Anmeldung!$G$21,Anmeldung!$J$26=Anmeldung!$J$21,(Anmeldung!$B$26&amp;": "&amp;Anmeldung!$D$26&amp;", "&amp;Anmeldung!$E$26&amp;" / "&amp;Anmeldung!$G$26&amp;" / "&amp;Anmeldung!$J$26)&lt;&gt;Anmeldung!$P$21),Anmeldung!$B$26&amp;": "&amp;Anmeldung!$D$26&amp;", "&amp;Anmeldung!$E$26&amp;" / "&amp;Anmeldung!$G$26&amp;" / "&amp;Anmeldung!$J$26,"")</f>
        <v/>
      </c>
      <c r="AA13" t="str">
        <f>IF(AND(19&lt;&gt;14,Anmeldung!$D$26&lt;&gt;"",Anmeldung!$G$26=Anmeldung!$G$21,Anmeldung!$J$26=Anmeldung!$J$21,(Anmeldung!$B$26&amp;": "&amp;Anmeldung!$D$26&amp;", "&amp;Anmeldung!$E$26&amp;" / "&amp;Anmeldung!$G$26&amp;" / "&amp;Anmeldung!$J$26)&lt;&gt;Anmeldung!$O$21),Anmeldung!$B$26&amp;": "&amp;Anmeldung!$D$26&amp;", "&amp;Anmeldung!$E$26&amp;" / "&amp;Anmeldung!$G$26&amp;" / "&amp;Anmeldung!$J$26,"")</f>
        <v/>
      </c>
      <c r="AB13" t="str">
        <f>IF(AND(19&lt;&gt;14,Anmeldung!$D$26&lt;&gt;"",Anmeldung!$G$26&lt;&gt;Anmeldung!$G$21,(Anmeldung!$B$26&amp;": "&amp;Anmeldung!$D$26&amp;", "&amp;Anmeldung!$E$26&amp;" / "&amp;Anmeldung!$G$26&amp;" / "&amp;Anmeldung!$J$26)&lt;&gt;Anmeldung!$S$21),Anmeldung!$B$26&amp;": "&amp;Anmeldung!$D$26&amp;", "&amp;Anmeldung!$E$26&amp;" / "&amp;Anmeldung!$G$26&amp;" / "&amp;Anmeldung!$J$26,"")</f>
        <v/>
      </c>
      <c r="AC13" t="str">
        <f>IF(AND(19&lt;&gt;14,Anmeldung!$D$26&lt;&gt;"",(Anmeldung!$B$26&amp;": "&amp;Anmeldung!$D$26&amp;", "&amp;Anmeldung!$E$26&amp;" / "&amp;Anmeldung!$G$26&amp;" / "&amp;Anmeldung!$J$26)&lt;&gt;Anmeldung!$R$21),Anmeldung!$B$26&amp;": "&amp;Anmeldung!$D$26&amp;", "&amp;Anmeldung!$E$26&amp;" / "&amp;Anmeldung!$G$26&amp;" / "&amp;Anmeldung!$J$26,"")</f>
        <v/>
      </c>
      <c r="AD13" t="str">
        <f>IF(AND(18&lt;&gt;13,Anmeldung!$D$26&lt;&gt;"",Anmeldung!$U$26="Ja",Anmeldung!$G$26=Anmeldung!$G$21,Anmeldung!$J$26=Anmeldung!$J$21),Anmeldung!$B$26&amp;": "&amp;Anmeldung!$D$26&amp;", "&amp;Anmeldung!$E$26&amp;" / "&amp;Anmeldung!$G$26&amp;" / "&amp;Anmeldung!$J$26,"")</f>
        <v/>
      </c>
      <c r="AG13" t="str">
        <f>IF(AND(19&lt;&gt;15,Anmeldung!$D$26&lt;&gt;"",Anmeldung!$G$26=Anmeldung!$G$22,Anmeldung!$J$26=Anmeldung!$J$22),Anmeldung!$B$26&amp;": "&amp;Anmeldung!$D$26&amp;", "&amp;Anmeldung!$E$26&amp;" / "&amp;Anmeldung!$G$26&amp;" / "&amp;Anmeldung!$J$26,"")</f>
        <v/>
      </c>
      <c r="AH13" t="str">
        <f>IF(AND(19&lt;&gt;15,Anmeldung!$D$26&lt;&gt;"",Anmeldung!$G$26=Anmeldung!$G$22,Anmeldung!$J$26=Anmeldung!$J$22,(Anmeldung!$B$26&amp;": "&amp;Anmeldung!$D$26&amp;", "&amp;Anmeldung!$E$26&amp;" / "&amp;Anmeldung!$G$26&amp;" / "&amp;Anmeldung!$J$26)&lt;&gt;Anmeldung!$P$22),Anmeldung!$B$26&amp;": "&amp;Anmeldung!$D$26&amp;", "&amp;Anmeldung!$E$26&amp;" / "&amp;Anmeldung!$G$26&amp;" / "&amp;Anmeldung!$J$26,"")</f>
        <v/>
      </c>
      <c r="AI13" t="str">
        <f>IF(AND(19&lt;&gt;15,Anmeldung!$D$26&lt;&gt;"",Anmeldung!$G$26=Anmeldung!$G$22,Anmeldung!$J$26=Anmeldung!$J$22,(Anmeldung!$B$26&amp;": "&amp;Anmeldung!$D$26&amp;", "&amp;Anmeldung!$E$26&amp;" / "&amp;Anmeldung!$G$26&amp;" / "&amp;Anmeldung!$J$26)&lt;&gt;Anmeldung!$O$22),Anmeldung!$B$26&amp;": "&amp;Anmeldung!$D$26&amp;", "&amp;Anmeldung!$E$26&amp;" / "&amp;Anmeldung!$G$26&amp;" / "&amp;Anmeldung!$J$26,"")</f>
        <v/>
      </c>
      <c r="AJ13" t="str">
        <f>IF(AND(19&lt;&gt;15,Anmeldung!$D$26&lt;&gt;"",Anmeldung!$G$26&lt;&gt;Anmeldung!$G$22,(Anmeldung!$B$26&amp;": "&amp;Anmeldung!$D$26&amp;", "&amp;Anmeldung!$E$26&amp;" / "&amp;Anmeldung!$G$26&amp;" / "&amp;Anmeldung!$J$26)&lt;&gt;Anmeldung!$S$22),Anmeldung!$B$26&amp;": "&amp;Anmeldung!$D$26&amp;", "&amp;Anmeldung!$E$26&amp;" / "&amp;Anmeldung!$G$26&amp;" / "&amp;Anmeldung!$J$26,"")</f>
        <v/>
      </c>
      <c r="AK13" t="str">
        <f>IF(AND(19&lt;&gt;15,Anmeldung!$D$26&lt;&gt;"",(Anmeldung!$B$26&amp;": "&amp;Anmeldung!$D$26&amp;", "&amp;Anmeldung!$E$26&amp;" / "&amp;Anmeldung!$G$26&amp;" / "&amp;Anmeldung!$J$26)&lt;&gt;Anmeldung!$R$22),Anmeldung!$B$26&amp;": "&amp;Anmeldung!$D$26&amp;", "&amp;Anmeldung!$E$26&amp;" / "&amp;Anmeldung!$G$26&amp;" / "&amp;Anmeldung!$J$26,"")</f>
        <v/>
      </c>
      <c r="AL13" t="str">
        <f>IF(AND(18&lt;&gt;14,Anmeldung!$D$26&lt;&gt;"",Anmeldung!$U$26="Ja",Anmeldung!$G$26=Anmeldung!$G$22,Anmeldung!$J$26=Anmeldung!$J$22),Anmeldung!$B$26&amp;": "&amp;Anmeldung!$D$26&amp;", "&amp;Anmeldung!$E$26&amp;" / "&amp;Anmeldung!$G$26&amp;" / "&amp;Anmeldung!$J$26,"")</f>
        <v/>
      </c>
      <c r="AO13" t="str">
        <f>IF(AND(19&lt;&gt;16,Anmeldung!$D$26&lt;&gt;"",Anmeldung!$G$26=Anmeldung!$G$23,Anmeldung!$J$26=Anmeldung!$J$23),Anmeldung!$B$26&amp;": "&amp;Anmeldung!$D$26&amp;", "&amp;Anmeldung!$E$26&amp;" / "&amp;Anmeldung!$G$26&amp;" / "&amp;Anmeldung!$J$26,"")</f>
        <v/>
      </c>
      <c r="AP13" t="str">
        <f>IF(AND(19&lt;&gt;16,Anmeldung!$D$26&lt;&gt;"",Anmeldung!$G$26=Anmeldung!$G$23,Anmeldung!$J$26=Anmeldung!$J$23,(Anmeldung!$B$26&amp;": "&amp;Anmeldung!$D$26&amp;", "&amp;Anmeldung!$E$26&amp;" / "&amp;Anmeldung!$G$26&amp;" / "&amp;Anmeldung!$J$26)&lt;&gt;Anmeldung!$P$23),Anmeldung!$B$26&amp;": "&amp;Anmeldung!$D$26&amp;", "&amp;Anmeldung!$E$26&amp;" / "&amp;Anmeldung!$G$26&amp;" / "&amp;Anmeldung!$J$26,"")</f>
        <v/>
      </c>
      <c r="AQ13" t="str">
        <f>IF(AND(19&lt;&gt;16,Anmeldung!$D$26&lt;&gt;"",Anmeldung!$G$26=Anmeldung!$G$23,Anmeldung!$J$26=Anmeldung!$J$23,(Anmeldung!$B$26&amp;": "&amp;Anmeldung!$D$26&amp;", "&amp;Anmeldung!$E$26&amp;" / "&amp;Anmeldung!$G$26&amp;" / "&amp;Anmeldung!$J$26)&lt;&gt;Anmeldung!$O$23),Anmeldung!$B$26&amp;": "&amp;Anmeldung!$D$26&amp;", "&amp;Anmeldung!$E$26&amp;" / "&amp;Anmeldung!$G$26&amp;" / "&amp;Anmeldung!$J$26,"")</f>
        <v/>
      </c>
      <c r="AR13" t="str">
        <f>IF(AND(19&lt;&gt;16,Anmeldung!$D$26&lt;&gt;"",Anmeldung!$G$26&lt;&gt;Anmeldung!$G$23,(Anmeldung!$B$26&amp;": "&amp;Anmeldung!$D$26&amp;", "&amp;Anmeldung!$E$26&amp;" / "&amp;Anmeldung!$G$26&amp;" / "&amp;Anmeldung!$J$26)&lt;&gt;Anmeldung!$S$23),Anmeldung!$B$26&amp;": "&amp;Anmeldung!$D$26&amp;", "&amp;Anmeldung!$E$26&amp;" / "&amp;Anmeldung!$G$26&amp;" / "&amp;Anmeldung!$J$26,"")</f>
        <v/>
      </c>
      <c r="AS13" t="str">
        <f>IF(AND(19&lt;&gt;16,Anmeldung!$D$26&lt;&gt;"",(Anmeldung!$B$26&amp;": "&amp;Anmeldung!$D$26&amp;", "&amp;Anmeldung!$E$26&amp;" / "&amp;Anmeldung!$G$26&amp;" / "&amp;Anmeldung!$J$26)&lt;&gt;Anmeldung!$R$23),Anmeldung!$B$26&amp;": "&amp;Anmeldung!$D$26&amp;", "&amp;Anmeldung!$E$26&amp;" / "&amp;Anmeldung!$G$26&amp;" / "&amp;Anmeldung!$J$26,"")</f>
        <v/>
      </c>
      <c r="AT13" t="str">
        <f>IF(AND(18&lt;&gt;15,Anmeldung!$D$26&lt;&gt;"",Anmeldung!$U$26="Ja",Anmeldung!$G$26=Anmeldung!$G$23,Anmeldung!$J$26=Anmeldung!$J$23),Anmeldung!$B$26&amp;": "&amp;Anmeldung!$D$26&amp;", "&amp;Anmeldung!$E$26&amp;" / "&amp;Anmeldung!$G$26&amp;" / "&amp;Anmeldung!$J$26,"")</f>
        <v/>
      </c>
      <c r="AW13" t="str">
        <f>IF(AND(19&lt;&gt;17,Anmeldung!$D$26&lt;&gt;"",Anmeldung!$G$26=Anmeldung!$G$24,Anmeldung!$J$26=Anmeldung!$J$24),Anmeldung!$B$26&amp;": "&amp;Anmeldung!$D$26&amp;", "&amp;Anmeldung!$E$26&amp;" / "&amp;Anmeldung!$G$26&amp;" / "&amp;Anmeldung!$J$26,"")</f>
        <v/>
      </c>
      <c r="AX13" t="str">
        <f>IF(AND(19&lt;&gt;17,Anmeldung!$D$26&lt;&gt;"",Anmeldung!$G$26=Anmeldung!$G$24,Anmeldung!$J$26=Anmeldung!$J$24,(Anmeldung!$B$26&amp;": "&amp;Anmeldung!$D$26&amp;", "&amp;Anmeldung!$E$26&amp;" / "&amp;Anmeldung!$G$26&amp;" / "&amp;Anmeldung!$J$26)&lt;&gt;Anmeldung!$P$24),Anmeldung!$B$26&amp;": "&amp;Anmeldung!$D$26&amp;", "&amp;Anmeldung!$E$26&amp;" / "&amp;Anmeldung!$G$26&amp;" / "&amp;Anmeldung!$J$26,"")</f>
        <v/>
      </c>
      <c r="AY13" t="str">
        <f>IF(AND(19&lt;&gt;17,Anmeldung!$D$26&lt;&gt;"",Anmeldung!$G$26=Anmeldung!$G$24,Anmeldung!$J$26=Anmeldung!$J$24,(Anmeldung!$B$26&amp;": "&amp;Anmeldung!$D$26&amp;", "&amp;Anmeldung!$E$26&amp;" / "&amp;Anmeldung!$G$26&amp;" / "&amp;Anmeldung!$J$26)&lt;&gt;Anmeldung!$O$24),Anmeldung!$B$26&amp;": "&amp;Anmeldung!$D$26&amp;", "&amp;Anmeldung!$E$26&amp;" / "&amp;Anmeldung!$G$26&amp;" / "&amp;Anmeldung!$J$26,"")</f>
        <v/>
      </c>
      <c r="AZ13" t="str">
        <f>IF(AND(19&lt;&gt;17,Anmeldung!$D$26&lt;&gt;"",Anmeldung!$G$26&lt;&gt;Anmeldung!$G$24,(Anmeldung!$B$26&amp;": "&amp;Anmeldung!$D$26&amp;", "&amp;Anmeldung!$E$26&amp;" / "&amp;Anmeldung!$G$26&amp;" / "&amp;Anmeldung!$J$26)&lt;&gt;Anmeldung!$S$24),Anmeldung!$B$26&amp;": "&amp;Anmeldung!$D$26&amp;", "&amp;Anmeldung!$E$26&amp;" / "&amp;Anmeldung!$G$26&amp;" / "&amp;Anmeldung!$J$26,"")</f>
        <v/>
      </c>
      <c r="BA13" t="str">
        <f>IF(AND(19&lt;&gt;17,Anmeldung!$D$26&lt;&gt;"",(Anmeldung!$B$26&amp;": "&amp;Anmeldung!$D$26&amp;", "&amp;Anmeldung!$E$26&amp;" / "&amp;Anmeldung!$G$26&amp;" / "&amp;Anmeldung!$J$26)&lt;&gt;Anmeldung!$R$24),Anmeldung!$B$26&amp;": "&amp;Anmeldung!$D$26&amp;", "&amp;Anmeldung!$E$26&amp;" / "&amp;Anmeldung!$G$26&amp;" / "&amp;Anmeldung!$J$26,"")</f>
        <v/>
      </c>
      <c r="BB13" t="str">
        <f>IF(AND(18&lt;&gt;16,Anmeldung!$D$26&lt;&gt;"",Anmeldung!$U$26="Ja",Anmeldung!$G$26=Anmeldung!$G$24,Anmeldung!$J$26=Anmeldung!$J$24),Anmeldung!$B$26&amp;": "&amp;Anmeldung!$D$26&amp;", "&amp;Anmeldung!$E$26&amp;" / "&amp;Anmeldung!$G$26&amp;" / "&amp;Anmeldung!$J$26,"")</f>
        <v/>
      </c>
      <c r="BE13" t="str">
        <f>IF(AND(19&lt;&gt;18,Anmeldung!$D$26&lt;&gt;"",Anmeldung!$G$26=Anmeldung!$G$25,Anmeldung!$J$26=Anmeldung!$J$25),Anmeldung!$B$26&amp;": "&amp;Anmeldung!$D$26&amp;", "&amp;Anmeldung!$E$26&amp;" / "&amp;Anmeldung!$G$26&amp;" / "&amp;Anmeldung!$J$26,"")</f>
        <v/>
      </c>
      <c r="BF13" t="str">
        <f>IF(AND(19&lt;&gt;18,Anmeldung!$D$26&lt;&gt;"",Anmeldung!$G$26=Anmeldung!$G$25,Anmeldung!$J$26=Anmeldung!$J$25,(Anmeldung!$B$26&amp;": "&amp;Anmeldung!$D$26&amp;", "&amp;Anmeldung!$E$26&amp;" / "&amp;Anmeldung!$G$26&amp;" / "&amp;Anmeldung!$J$26)&lt;&gt;Anmeldung!$P$25),Anmeldung!$B$26&amp;": "&amp;Anmeldung!$D$26&amp;", "&amp;Anmeldung!$E$26&amp;" / "&amp;Anmeldung!$G$26&amp;" / "&amp;Anmeldung!$J$26,"")</f>
        <v/>
      </c>
      <c r="BG13" t="str">
        <f>IF(AND(19&lt;&gt;18,Anmeldung!$D$26&lt;&gt;"",Anmeldung!$G$26=Anmeldung!$G$25,Anmeldung!$J$26=Anmeldung!$J$25,(Anmeldung!$B$26&amp;": "&amp;Anmeldung!$D$26&amp;", "&amp;Anmeldung!$E$26&amp;" / "&amp;Anmeldung!$G$26&amp;" / "&amp;Anmeldung!$J$26)&lt;&gt;Anmeldung!$O$25),Anmeldung!$B$26&amp;": "&amp;Anmeldung!$D$26&amp;", "&amp;Anmeldung!$E$26&amp;" / "&amp;Anmeldung!$G$26&amp;" / "&amp;Anmeldung!$J$26,"")</f>
        <v/>
      </c>
      <c r="BH13" t="str">
        <f>IF(AND(19&lt;&gt;18,Anmeldung!$D$26&lt;&gt;"",Anmeldung!$G$26&lt;&gt;Anmeldung!$G$25,(Anmeldung!$B$26&amp;": "&amp;Anmeldung!$D$26&amp;", "&amp;Anmeldung!$E$26&amp;" / "&amp;Anmeldung!$G$26&amp;" / "&amp;Anmeldung!$J$26)&lt;&gt;Anmeldung!$S$25),Anmeldung!$B$26&amp;": "&amp;Anmeldung!$D$26&amp;", "&amp;Anmeldung!$E$26&amp;" / "&amp;Anmeldung!$G$26&amp;" / "&amp;Anmeldung!$J$26,"")</f>
        <v/>
      </c>
      <c r="BI13" t="str">
        <f>IF(AND(19&lt;&gt;18,Anmeldung!$D$26&lt;&gt;"",(Anmeldung!$B$26&amp;": "&amp;Anmeldung!$D$26&amp;", "&amp;Anmeldung!$E$26&amp;" / "&amp;Anmeldung!$G$26&amp;" / "&amp;Anmeldung!$J$26)&lt;&gt;Anmeldung!$R$25),Anmeldung!$B$26&amp;": "&amp;Anmeldung!$D$26&amp;", "&amp;Anmeldung!$E$26&amp;" / "&amp;Anmeldung!$G$26&amp;" / "&amp;Anmeldung!$J$26,"")</f>
        <v/>
      </c>
      <c r="BJ13" t="str">
        <f>IF(AND(18&lt;&gt;17,Anmeldung!$D$26&lt;&gt;"",Anmeldung!$U$26="Ja",Anmeldung!$G$26=Anmeldung!$G$25,Anmeldung!$J$26=Anmeldung!$J$25),Anmeldung!$B$26&amp;": "&amp;Anmeldung!$D$26&amp;", "&amp;Anmeldung!$E$26&amp;" / "&amp;Anmeldung!$G$26&amp;" / "&amp;Anmeldung!$J$26,"")</f>
        <v/>
      </c>
      <c r="BM13" t="str">
        <f>IF(AND(19&lt;&gt;19,Anmeldung!$D$26&lt;&gt;"",Anmeldung!$G$26=Anmeldung!$G$26,Anmeldung!$J$26=Anmeldung!$J$26),Anmeldung!$B$26&amp;": "&amp;Anmeldung!$D$26&amp;", "&amp;Anmeldung!$E$26&amp;" / "&amp;Anmeldung!$G$26&amp;" / "&amp;Anmeldung!$J$26,"")</f>
        <v/>
      </c>
      <c r="BN13" t="str">
        <f>IF(AND(19&lt;&gt;19,Anmeldung!$D$26&lt;&gt;"",Anmeldung!$G$26=Anmeldung!$G$26,Anmeldung!$J$26=Anmeldung!$J$26,(Anmeldung!$B$26&amp;": "&amp;Anmeldung!$D$26&amp;", "&amp;Anmeldung!$E$26&amp;" / "&amp;Anmeldung!$G$26&amp;" / "&amp;Anmeldung!$J$26)&lt;&gt;Anmeldung!$P$26),Anmeldung!$B$26&amp;": "&amp;Anmeldung!$D$26&amp;", "&amp;Anmeldung!$E$26&amp;" / "&amp;Anmeldung!$G$26&amp;" / "&amp;Anmeldung!$J$26,"")</f>
        <v/>
      </c>
      <c r="BO13" t="str">
        <f>IF(AND(19&lt;&gt;19,Anmeldung!$D$26&lt;&gt;"",Anmeldung!$G$26=Anmeldung!$G$26,Anmeldung!$J$26=Anmeldung!$J$26,(Anmeldung!$B$26&amp;": "&amp;Anmeldung!$D$26&amp;", "&amp;Anmeldung!$E$26&amp;" / "&amp;Anmeldung!$G$26&amp;" / "&amp;Anmeldung!$J$26)&lt;&gt;Anmeldung!$O$26),Anmeldung!$B$26&amp;": "&amp;Anmeldung!$D$26&amp;", "&amp;Anmeldung!$E$26&amp;" / "&amp;Anmeldung!$G$26&amp;" / "&amp;Anmeldung!$J$26,"")</f>
        <v/>
      </c>
      <c r="BP13" t="str">
        <f>IF(AND(19&lt;&gt;19,Anmeldung!$D$26&lt;&gt;"",Anmeldung!$G$26&lt;&gt;Anmeldung!$G$26,(Anmeldung!$B$26&amp;": "&amp;Anmeldung!$D$26&amp;", "&amp;Anmeldung!$E$26&amp;" / "&amp;Anmeldung!$G$26&amp;" / "&amp;Anmeldung!$J$26)&lt;&gt;Anmeldung!$S$26),Anmeldung!$B$26&amp;": "&amp;Anmeldung!$D$26&amp;", "&amp;Anmeldung!$E$26&amp;" / "&amp;Anmeldung!$G$26&amp;" / "&amp;Anmeldung!$J$26,"")</f>
        <v/>
      </c>
      <c r="BQ13" t="str">
        <f>IF(AND(19&lt;&gt;19,Anmeldung!$D$26&lt;&gt;"",(Anmeldung!$B$26&amp;": "&amp;Anmeldung!$D$26&amp;", "&amp;Anmeldung!$E$26&amp;" / "&amp;Anmeldung!$G$26&amp;" / "&amp;Anmeldung!$J$26)&lt;&gt;Anmeldung!$R$26),Anmeldung!$B$26&amp;": "&amp;Anmeldung!$D$26&amp;", "&amp;Anmeldung!$E$26&amp;" / "&amp;Anmeldung!$G$26&amp;" / "&amp;Anmeldung!$J$26,"")</f>
        <v/>
      </c>
      <c r="BR13" t="str">
        <f>IF(AND(18&lt;&gt;18,Anmeldung!$D$26&lt;&gt;"",Anmeldung!$U$26="Ja",Anmeldung!$G$26=Anmeldung!$G$26,Anmeldung!$J$26=Anmeldung!$J$26),Anmeldung!$B$26&amp;": "&amp;Anmeldung!$D$26&amp;", "&amp;Anmeldung!$E$26&amp;" / "&amp;Anmeldung!$G$26&amp;" / "&amp;Anmeldung!$J$26,"")</f>
        <v/>
      </c>
      <c r="BU13" t="str">
        <f>IF(AND(19&lt;&gt;20,Anmeldung!$D$26&lt;&gt;"",Anmeldung!$G$26=Anmeldung!$G$27,Anmeldung!$J$26=Anmeldung!$J$27),Anmeldung!$B$26&amp;": "&amp;Anmeldung!$D$26&amp;", "&amp;Anmeldung!$E$26&amp;" / "&amp;Anmeldung!$G$26&amp;" / "&amp;Anmeldung!$J$26,"")</f>
        <v/>
      </c>
      <c r="BV13" t="str">
        <f>IF(AND(19&lt;&gt;20,Anmeldung!$D$26&lt;&gt;"",Anmeldung!$G$26=Anmeldung!$G$27,Anmeldung!$J$26=Anmeldung!$J$27,(Anmeldung!$B$26&amp;": "&amp;Anmeldung!$D$26&amp;", "&amp;Anmeldung!$E$26&amp;" / "&amp;Anmeldung!$G$26&amp;" / "&amp;Anmeldung!$J$26)&lt;&gt;Anmeldung!$P$27),Anmeldung!$B$26&amp;": "&amp;Anmeldung!$D$26&amp;", "&amp;Anmeldung!$E$26&amp;" / "&amp;Anmeldung!$G$26&amp;" / "&amp;Anmeldung!$J$26,"")</f>
        <v/>
      </c>
      <c r="BW13" t="str">
        <f>IF(AND(19&lt;&gt;20,Anmeldung!$D$26&lt;&gt;"",Anmeldung!$G$26=Anmeldung!$G$27,Anmeldung!$J$26=Anmeldung!$J$27,(Anmeldung!$B$26&amp;": "&amp;Anmeldung!$D$26&amp;", "&amp;Anmeldung!$E$26&amp;" / "&amp;Anmeldung!$G$26&amp;" / "&amp;Anmeldung!$J$26)&lt;&gt;Anmeldung!$O$27),Anmeldung!$B$26&amp;": "&amp;Anmeldung!$D$26&amp;", "&amp;Anmeldung!$E$26&amp;" / "&amp;Anmeldung!$G$26&amp;" / "&amp;Anmeldung!$J$26,"")</f>
        <v/>
      </c>
      <c r="BX13" t="str">
        <f>IF(AND(19&lt;&gt;20,Anmeldung!$D$26&lt;&gt;"",Anmeldung!$G$26&lt;&gt;Anmeldung!$G$27,(Anmeldung!$B$26&amp;": "&amp;Anmeldung!$D$26&amp;", "&amp;Anmeldung!$E$26&amp;" / "&amp;Anmeldung!$G$26&amp;" / "&amp;Anmeldung!$J$26)&lt;&gt;Anmeldung!$S$27),Anmeldung!$B$26&amp;": "&amp;Anmeldung!$D$26&amp;", "&amp;Anmeldung!$E$26&amp;" / "&amp;Anmeldung!$G$26&amp;" / "&amp;Anmeldung!$J$26,"")</f>
        <v/>
      </c>
      <c r="BY13" t="str">
        <f>IF(AND(19&lt;&gt;20,Anmeldung!$D$26&lt;&gt;"",(Anmeldung!$B$26&amp;": "&amp;Anmeldung!$D$26&amp;", "&amp;Anmeldung!$E$26&amp;" / "&amp;Anmeldung!$G$26&amp;" / "&amp;Anmeldung!$J$26)&lt;&gt;Anmeldung!$R$27),Anmeldung!$B$26&amp;": "&amp;Anmeldung!$D$26&amp;", "&amp;Anmeldung!$E$26&amp;" / "&amp;Anmeldung!$G$26&amp;" / "&amp;Anmeldung!$J$26,"")</f>
        <v/>
      </c>
      <c r="BZ13" t="str">
        <f>IF(AND(18&lt;&gt;19,Anmeldung!$D$26&lt;&gt;"",Anmeldung!$U$26="Ja",Anmeldung!$G$26=Anmeldung!$G$27,Anmeldung!$J$26=Anmeldung!$J$27),Anmeldung!$B$26&amp;": "&amp;Anmeldung!$D$26&amp;", "&amp;Anmeldung!$E$26&amp;" / "&amp;Anmeldung!$G$26&amp;" / "&amp;Anmeldung!$J$26,"")</f>
        <v/>
      </c>
      <c r="CC13" t="str">
        <f>IF(AND(19&lt;&gt;21,Anmeldung!$D$26&lt;&gt;"",Anmeldung!$G$26=Anmeldung!$G$28,Anmeldung!$J$26=Anmeldung!$J$28),Anmeldung!$B$26&amp;": "&amp;Anmeldung!$D$26&amp;", "&amp;Anmeldung!$E$26&amp;" / "&amp;Anmeldung!$G$26&amp;" / "&amp;Anmeldung!$J$26,"")</f>
        <v/>
      </c>
      <c r="CD13" t="str">
        <f>IF(AND(19&lt;&gt;21,Anmeldung!$D$26&lt;&gt;"",Anmeldung!$G$26=Anmeldung!$G$28,Anmeldung!$J$26=Anmeldung!$J$28,(Anmeldung!$B$26&amp;": "&amp;Anmeldung!$D$26&amp;", "&amp;Anmeldung!$E$26&amp;" / "&amp;Anmeldung!$G$26&amp;" / "&amp;Anmeldung!$J$26)&lt;&gt;Anmeldung!$P$28),Anmeldung!$B$26&amp;": "&amp;Anmeldung!$D$26&amp;", "&amp;Anmeldung!$E$26&amp;" / "&amp;Anmeldung!$G$26&amp;" / "&amp;Anmeldung!$J$26,"")</f>
        <v/>
      </c>
      <c r="CE13" t="str">
        <f>IF(AND(19&lt;&gt;21,Anmeldung!$D$26&lt;&gt;"",Anmeldung!$G$26=Anmeldung!$G$28,Anmeldung!$J$26=Anmeldung!$J$28,(Anmeldung!$B$26&amp;": "&amp;Anmeldung!$D$26&amp;", "&amp;Anmeldung!$E$26&amp;" / "&amp;Anmeldung!$G$26&amp;" / "&amp;Anmeldung!$J$26)&lt;&gt;Anmeldung!$O$28),Anmeldung!$B$26&amp;": "&amp;Anmeldung!$D$26&amp;", "&amp;Anmeldung!$E$26&amp;" / "&amp;Anmeldung!$G$26&amp;" / "&amp;Anmeldung!$J$26,"")</f>
        <v/>
      </c>
      <c r="CF13" t="str">
        <f>IF(AND(19&lt;&gt;21,Anmeldung!$D$26&lt;&gt;"",Anmeldung!$G$26&lt;&gt;Anmeldung!$G$28,(Anmeldung!$B$26&amp;": "&amp;Anmeldung!$D$26&amp;", "&amp;Anmeldung!$E$26&amp;" / "&amp;Anmeldung!$G$26&amp;" / "&amp;Anmeldung!$J$26)&lt;&gt;Anmeldung!$S$28),Anmeldung!$B$26&amp;": "&amp;Anmeldung!$D$26&amp;", "&amp;Anmeldung!$E$26&amp;" / "&amp;Anmeldung!$G$26&amp;" / "&amp;Anmeldung!$J$26,"")</f>
        <v/>
      </c>
      <c r="CG13" t="str">
        <f>IF(AND(19&lt;&gt;21,Anmeldung!$D$26&lt;&gt;"",(Anmeldung!$B$26&amp;": "&amp;Anmeldung!$D$26&amp;", "&amp;Anmeldung!$E$26&amp;" / "&amp;Anmeldung!$G$26&amp;" / "&amp;Anmeldung!$J$26)&lt;&gt;Anmeldung!$R$28),Anmeldung!$B$26&amp;": "&amp;Anmeldung!$D$26&amp;", "&amp;Anmeldung!$E$26&amp;" / "&amp;Anmeldung!$G$26&amp;" / "&amp;Anmeldung!$J$26,"")</f>
        <v/>
      </c>
      <c r="CH13" t="str">
        <f>IF(AND(18&lt;&gt;20,Anmeldung!$D$26&lt;&gt;"",Anmeldung!$U$26="Ja",Anmeldung!$G$26=Anmeldung!$G$28,Anmeldung!$J$26=Anmeldung!$J$28),Anmeldung!$B$26&amp;": "&amp;Anmeldung!$D$26&amp;", "&amp;Anmeldung!$E$26&amp;" / "&amp;Anmeldung!$G$26&amp;" / "&amp;Anmeldung!$J$26,"")</f>
        <v/>
      </c>
      <c r="CK13" t="str">
        <f>IF(AND(19&lt;&gt;22,Anmeldung!$D$26&lt;&gt;"",Anmeldung!$G$26=Anmeldung!$G$29,Anmeldung!$J$26=Anmeldung!$J$29),Anmeldung!$B$26&amp;": "&amp;Anmeldung!$D$26&amp;", "&amp;Anmeldung!$E$26&amp;" / "&amp;Anmeldung!$G$26&amp;" / "&amp;Anmeldung!$J$26,"")</f>
        <v/>
      </c>
      <c r="CL13" t="str">
        <f>IF(AND(19&lt;&gt;22,Anmeldung!$D$26&lt;&gt;"",Anmeldung!$G$26=Anmeldung!$G$29,Anmeldung!$J$26=Anmeldung!$J$29,(Anmeldung!$B$26&amp;": "&amp;Anmeldung!$D$26&amp;", "&amp;Anmeldung!$E$26&amp;" / "&amp;Anmeldung!$G$26&amp;" / "&amp;Anmeldung!$J$26)&lt;&gt;Anmeldung!$P$29),Anmeldung!$B$26&amp;": "&amp;Anmeldung!$D$26&amp;", "&amp;Anmeldung!$E$26&amp;" / "&amp;Anmeldung!$G$26&amp;" / "&amp;Anmeldung!$J$26,"")</f>
        <v/>
      </c>
      <c r="CM13" t="str">
        <f>IF(AND(19&lt;&gt;22,Anmeldung!$D$26&lt;&gt;"",Anmeldung!$G$26=Anmeldung!$G$29,Anmeldung!$J$26=Anmeldung!$J$29,(Anmeldung!$B$26&amp;": "&amp;Anmeldung!$D$26&amp;", "&amp;Anmeldung!$E$26&amp;" / "&amp;Anmeldung!$G$26&amp;" / "&amp;Anmeldung!$J$26)&lt;&gt;Anmeldung!$O$29),Anmeldung!$B$26&amp;": "&amp;Anmeldung!$D$26&amp;", "&amp;Anmeldung!$E$26&amp;" / "&amp;Anmeldung!$G$26&amp;" / "&amp;Anmeldung!$J$26,"")</f>
        <v/>
      </c>
      <c r="CN13" t="str">
        <f>IF(AND(19&lt;&gt;22,Anmeldung!$D$26&lt;&gt;"",Anmeldung!$G$26&lt;&gt;Anmeldung!$G$29,(Anmeldung!$B$26&amp;": "&amp;Anmeldung!$D$26&amp;", "&amp;Anmeldung!$E$26&amp;" / "&amp;Anmeldung!$G$26&amp;" / "&amp;Anmeldung!$J$26)&lt;&gt;Anmeldung!$S$29),Anmeldung!$B$26&amp;": "&amp;Anmeldung!$D$26&amp;", "&amp;Anmeldung!$E$26&amp;" / "&amp;Anmeldung!$G$26&amp;" / "&amp;Anmeldung!$J$26,"")</f>
        <v/>
      </c>
      <c r="CO13" t="str">
        <f>IF(AND(19&lt;&gt;22,Anmeldung!$D$26&lt;&gt;"",(Anmeldung!$B$26&amp;": "&amp;Anmeldung!$D$26&amp;", "&amp;Anmeldung!$E$26&amp;" / "&amp;Anmeldung!$G$26&amp;" / "&amp;Anmeldung!$J$26)&lt;&gt;Anmeldung!$R$29),Anmeldung!$B$26&amp;": "&amp;Anmeldung!$D$26&amp;", "&amp;Anmeldung!$E$26&amp;" / "&amp;Anmeldung!$G$26&amp;" / "&amp;Anmeldung!$J$26,"")</f>
        <v/>
      </c>
      <c r="CP13" t="str">
        <f>IF(AND(18&lt;&gt;21,Anmeldung!$D$26&lt;&gt;"",Anmeldung!$U$26="Ja",Anmeldung!$G$26=Anmeldung!$G$29,Anmeldung!$J$26=Anmeldung!$J$29),Anmeldung!$B$26&amp;": "&amp;Anmeldung!$D$26&amp;", "&amp;Anmeldung!$E$26&amp;" / "&amp;Anmeldung!$G$26&amp;" / "&amp;Anmeldung!$J$26,"")</f>
        <v/>
      </c>
      <c r="CS13" t="str">
        <f>IF(AND(19&lt;&gt;23,Anmeldung!$D$26&lt;&gt;"",Anmeldung!$G$26=Anmeldung!$G$30,Anmeldung!$J$26=Anmeldung!$J$30),Anmeldung!$B$26&amp;": "&amp;Anmeldung!$D$26&amp;", "&amp;Anmeldung!$E$26&amp;" / "&amp;Anmeldung!$G$26&amp;" / "&amp;Anmeldung!$J$26,"")</f>
        <v/>
      </c>
      <c r="CT13" t="str">
        <f>IF(AND(19&lt;&gt;23,Anmeldung!$D$26&lt;&gt;"",Anmeldung!$G$26=Anmeldung!$G$30,Anmeldung!$J$26=Anmeldung!$J$30,(Anmeldung!$B$26&amp;": "&amp;Anmeldung!$D$26&amp;", "&amp;Anmeldung!$E$26&amp;" / "&amp;Anmeldung!$G$26&amp;" / "&amp;Anmeldung!$J$26)&lt;&gt;Anmeldung!$P$30),Anmeldung!$B$26&amp;": "&amp;Anmeldung!$D$26&amp;", "&amp;Anmeldung!$E$26&amp;" / "&amp;Anmeldung!$G$26&amp;" / "&amp;Anmeldung!$J$26,"")</f>
        <v/>
      </c>
      <c r="CU13" t="str">
        <f>IF(AND(19&lt;&gt;23,Anmeldung!$D$26&lt;&gt;"",Anmeldung!$G$26=Anmeldung!$G$30,Anmeldung!$J$26=Anmeldung!$J$30,(Anmeldung!$B$26&amp;": "&amp;Anmeldung!$D$26&amp;", "&amp;Anmeldung!$E$26&amp;" / "&amp;Anmeldung!$G$26&amp;" / "&amp;Anmeldung!$J$26)&lt;&gt;Anmeldung!$O$30),Anmeldung!$B$26&amp;": "&amp;Anmeldung!$D$26&amp;", "&amp;Anmeldung!$E$26&amp;" / "&amp;Anmeldung!$G$26&amp;" / "&amp;Anmeldung!$J$26,"")</f>
        <v/>
      </c>
      <c r="CV13" t="str">
        <f>IF(AND(19&lt;&gt;23,Anmeldung!$D$26&lt;&gt;"",Anmeldung!$G$26&lt;&gt;Anmeldung!$G$30,(Anmeldung!$B$26&amp;": "&amp;Anmeldung!$D$26&amp;", "&amp;Anmeldung!$E$26&amp;" / "&amp;Anmeldung!$G$26&amp;" / "&amp;Anmeldung!$J$26)&lt;&gt;Anmeldung!$S$30),Anmeldung!$B$26&amp;": "&amp;Anmeldung!$D$26&amp;", "&amp;Anmeldung!$E$26&amp;" / "&amp;Anmeldung!$G$26&amp;" / "&amp;Anmeldung!$J$26,"")</f>
        <v/>
      </c>
      <c r="CW13" t="str">
        <f>IF(AND(19&lt;&gt;23,Anmeldung!$D$26&lt;&gt;"",(Anmeldung!$B$26&amp;": "&amp;Anmeldung!$D$26&amp;", "&amp;Anmeldung!$E$26&amp;" / "&amp;Anmeldung!$G$26&amp;" / "&amp;Anmeldung!$J$26)&lt;&gt;Anmeldung!$R$30),Anmeldung!$B$26&amp;": "&amp;Anmeldung!$D$26&amp;", "&amp;Anmeldung!$E$26&amp;" / "&amp;Anmeldung!$G$26&amp;" / "&amp;Anmeldung!$J$26,"")</f>
        <v/>
      </c>
      <c r="CX13" t="str">
        <f>IF(AND(18&lt;&gt;22,Anmeldung!$D$26&lt;&gt;"",Anmeldung!$U$26="Ja",Anmeldung!$G$26=Anmeldung!$G$30,Anmeldung!$J$26=Anmeldung!$J$30),Anmeldung!$B$26&amp;": "&amp;Anmeldung!$D$26&amp;", "&amp;Anmeldung!$E$26&amp;" / "&amp;Anmeldung!$G$26&amp;" / "&amp;Anmeldung!$J$26,"")</f>
        <v/>
      </c>
      <c r="DA13" t="str">
        <f>IF(AND(19&lt;&gt;24,Anmeldung!$D$26&lt;&gt;"",Anmeldung!$G$26=Anmeldung!$G$31,Anmeldung!$J$26=Anmeldung!$J$31),Anmeldung!$B$26&amp;": "&amp;Anmeldung!$D$26&amp;", "&amp;Anmeldung!$E$26&amp;" / "&amp;Anmeldung!$G$26&amp;" / "&amp;Anmeldung!$J$26,"")</f>
        <v/>
      </c>
      <c r="DB13" t="str">
        <f>IF(AND(19&lt;&gt;24,Anmeldung!$D$26&lt;&gt;"",Anmeldung!$G$26=Anmeldung!$G$31,Anmeldung!$J$26=Anmeldung!$J$31,(Anmeldung!$B$26&amp;": "&amp;Anmeldung!$D$26&amp;", "&amp;Anmeldung!$E$26&amp;" / "&amp;Anmeldung!$G$26&amp;" / "&amp;Anmeldung!$J$26)&lt;&gt;Anmeldung!$P$31),Anmeldung!$B$26&amp;": "&amp;Anmeldung!$D$26&amp;", "&amp;Anmeldung!$E$26&amp;" / "&amp;Anmeldung!$G$26&amp;" / "&amp;Anmeldung!$J$26,"")</f>
        <v/>
      </c>
      <c r="DC13" t="str">
        <f>IF(AND(19&lt;&gt;24,Anmeldung!$D$26&lt;&gt;"",Anmeldung!$G$26=Anmeldung!$G$31,Anmeldung!$J$26=Anmeldung!$J$31,(Anmeldung!$B$26&amp;": "&amp;Anmeldung!$D$26&amp;", "&amp;Anmeldung!$E$26&amp;" / "&amp;Anmeldung!$G$26&amp;" / "&amp;Anmeldung!$J$26)&lt;&gt;Anmeldung!$O$31),Anmeldung!$B$26&amp;": "&amp;Anmeldung!$D$26&amp;", "&amp;Anmeldung!$E$26&amp;" / "&amp;Anmeldung!$G$26&amp;" / "&amp;Anmeldung!$J$26,"")</f>
        <v/>
      </c>
      <c r="DD13" t="str">
        <f>IF(AND(19&lt;&gt;24,Anmeldung!$D$26&lt;&gt;"",Anmeldung!$G$26&lt;&gt;Anmeldung!$G$31,(Anmeldung!$B$26&amp;": "&amp;Anmeldung!$D$26&amp;", "&amp;Anmeldung!$E$26&amp;" / "&amp;Anmeldung!$G$26&amp;" / "&amp;Anmeldung!$J$26)&lt;&gt;Anmeldung!$S$31),Anmeldung!$B$26&amp;": "&amp;Anmeldung!$D$26&amp;", "&amp;Anmeldung!$E$26&amp;" / "&amp;Anmeldung!$G$26&amp;" / "&amp;Anmeldung!$J$26,"")</f>
        <v/>
      </c>
      <c r="DE13" t="str">
        <f>IF(AND(19&lt;&gt;24,Anmeldung!$D$26&lt;&gt;"",(Anmeldung!$B$26&amp;": "&amp;Anmeldung!$D$26&amp;", "&amp;Anmeldung!$E$26&amp;" / "&amp;Anmeldung!$G$26&amp;" / "&amp;Anmeldung!$J$26)&lt;&gt;Anmeldung!$R$31),Anmeldung!$B$26&amp;": "&amp;Anmeldung!$D$26&amp;", "&amp;Anmeldung!$E$26&amp;" / "&amp;Anmeldung!$G$26&amp;" / "&amp;Anmeldung!$J$26,"")</f>
        <v/>
      </c>
      <c r="DF13" t="str">
        <f>IF(AND(18&lt;&gt;23,Anmeldung!$D$26&lt;&gt;"",Anmeldung!$U$26="Ja",Anmeldung!$G$26=Anmeldung!$G$31,Anmeldung!$J$26=Anmeldung!$J$31),Anmeldung!$B$26&amp;": "&amp;Anmeldung!$D$26&amp;", "&amp;Anmeldung!$E$26&amp;" / "&amp;Anmeldung!$G$26&amp;" / "&amp;Anmeldung!$J$26,"")</f>
        <v/>
      </c>
      <c r="DI13" t="str">
        <f>IF(AND(19&lt;&gt;25,Anmeldung!$D$26&lt;&gt;"",Anmeldung!$G$26=Anmeldung!$G$32,Anmeldung!$J$26=Anmeldung!$J$32),Anmeldung!$B$26&amp;": "&amp;Anmeldung!$D$26&amp;", "&amp;Anmeldung!$E$26&amp;" / "&amp;Anmeldung!$G$26&amp;" / "&amp;Anmeldung!$J$26,"")</f>
        <v/>
      </c>
      <c r="DJ13" t="str">
        <f>IF(AND(19&lt;&gt;25,Anmeldung!$D$26&lt;&gt;"",Anmeldung!$G$26=Anmeldung!$G$32,Anmeldung!$J$26=Anmeldung!$J$32,(Anmeldung!$B$26&amp;": "&amp;Anmeldung!$D$26&amp;", "&amp;Anmeldung!$E$26&amp;" / "&amp;Anmeldung!$G$26&amp;" / "&amp;Anmeldung!$J$26)&lt;&gt;Anmeldung!$P$32),Anmeldung!$B$26&amp;": "&amp;Anmeldung!$D$26&amp;", "&amp;Anmeldung!$E$26&amp;" / "&amp;Anmeldung!$G$26&amp;" / "&amp;Anmeldung!$J$26,"")</f>
        <v/>
      </c>
      <c r="DK13" t="str">
        <f>IF(AND(19&lt;&gt;25,Anmeldung!$D$26&lt;&gt;"",Anmeldung!$G$26=Anmeldung!$G$32,Anmeldung!$J$26=Anmeldung!$J$32,(Anmeldung!$B$26&amp;": "&amp;Anmeldung!$D$26&amp;", "&amp;Anmeldung!$E$26&amp;" / "&amp;Anmeldung!$G$26&amp;" / "&amp;Anmeldung!$J$26)&lt;&gt;Anmeldung!$O$32),Anmeldung!$B$26&amp;": "&amp;Anmeldung!$D$26&amp;", "&amp;Anmeldung!$E$26&amp;" / "&amp;Anmeldung!$G$26&amp;" / "&amp;Anmeldung!$J$26,"")</f>
        <v/>
      </c>
      <c r="DL13" t="str">
        <f>IF(AND(19&lt;&gt;25,Anmeldung!$D$26&lt;&gt;"",Anmeldung!$G$26&lt;&gt;Anmeldung!$G$32,(Anmeldung!$B$26&amp;": "&amp;Anmeldung!$D$26&amp;", "&amp;Anmeldung!$E$26&amp;" / "&amp;Anmeldung!$G$26&amp;" / "&amp;Anmeldung!$J$26)&lt;&gt;Anmeldung!$S$32),Anmeldung!$B$26&amp;": "&amp;Anmeldung!$D$26&amp;", "&amp;Anmeldung!$E$26&amp;" / "&amp;Anmeldung!$G$26&amp;" / "&amp;Anmeldung!$J$26,"")</f>
        <v/>
      </c>
      <c r="DM13" t="str">
        <f>IF(AND(19&lt;&gt;25,Anmeldung!$D$26&lt;&gt;"",(Anmeldung!$B$26&amp;": "&amp;Anmeldung!$D$26&amp;", "&amp;Anmeldung!$E$26&amp;" / "&amp;Anmeldung!$G$26&amp;" / "&amp;Anmeldung!$J$26)&lt;&gt;Anmeldung!$R$32),Anmeldung!$B$26&amp;": "&amp;Anmeldung!$D$26&amp;", "&amp;Anmeldung!$E$26&amp;" / "&amp;Anmeldung!$G$26&amp;" / "&amp;Anmeldung!$J$26,"")</f>
        <v/>
      </c>
      <c r="DN13" t="str">
        <f>IF(AND(18&lt;&gt;24,Anmeldung!$D$26&lt;&gt;"",Anmeldung!$U$26="Ja",Anmeldung!$G$26=Anmeldung!$G$32,Anmeldung!$J$26=Anmeldung!$J$32),Anmeldung!$B$26&amp;": "&amp;Anmeldung!$D$26&amp;", "&amp;Anmeldung!$E$26&amp;" / "&amp;Anmeldung!$G$26&amp;" / "&amp;Anmeldung!$J$26,"")</f>
        <v/>
      </c>
      <c r="DQ13" t="str">
        <f>IF(AND(19&lt;&gt;26,Anmeldung!$D$26&lt;&gt;"",Anmeldung!$G$26=Anmeldung!$G$33,Anmeldung!$J$26=Anmeldung!$J$33),Anmeldung!$B$26&amp;": "&amp;Anmeldung!$D$26&amp;", "&amp;Anmeldung!$E$26&amp;" / "&amp;Anmeldung!$G$26&amp;" / "&amp;Anmeldung!$J$26,"")</f>
        <v/>
      </c>
      <c r="DR13" t="str">
        <f>IF(AND(19&lt;&gt;26,Anmeldung!$D$26&lt;&gt;"",Anmeldung!$G$26=Anmeldung!$G$33,Anmeldung!$J$26=Anmeldung!$J$33,(Anmeldung!$B$26&amp;": "&amp;Anmeldung!$D$26&amp;", "&amp;Anmeldung!$E$26&amp;" / "&amp;Anmeldung!$G$26&amp;" / "&amp;Anmeldung!$J$26)&lt;&gt;Anmeldung!$P$33),Anmeldung!$B$26&amp;": "&amp;Anmeldung!$D$26&amp;", "&amp;Anmeldung!$E$26&amp;" / "&amp;Anmeldung!$G$26&amp;" / "&amp;Anmeldung!$J$26,"")</f>
        <v/>
      </c>
      <c r="DS13" t="str">
        <f>IF(AND(19&lt;&gt;26,Anmeldung!$D$26&lt;&gt;"",Anmeldung!$G$26=Anmeldung!$G$33,Anmeldung!$J$26=Anmeldung!$J$33,(Anmeldung!$B$26&amp;": "&amp;Anmeldung!$D$26&amp;", "&amp;Anmeldung!$E$26&amp;" / "&amp;Anmeldung!$G$26&amp;" / "&amp;Anmeldung!$J$26)&lt;&gt;Anmeldung!$O$33),Anmeldung!$B$26&amp;": "&amp;Anmeldung!$D$26&amp;", "&amp;Anmeldung!$E$26&amp;" / "&amp;Anmeldung!$G$26&amp;" / "&amp;Anmeldung!$J$26,"")</f>
        <v/>
      </c>
      <c r="DT13" t="str">
        <f>IF(AND(19&lt;&gt;26,Anmeldung!$D$26&lt;&gt;"",Anmeldung!$G$26&lt;&gt;Anmeldung!$G$33,(Anmeldung!$B$26&amp;": "&amp;Anmeldung!$D$26&amp;", "&amp;Anmeldung!$E$26&amp;" / "&amp;Anmeldung!$G$26&amp;" / "&amp;Anmeldung!$J$26)&lt;&gt;Anmeldung!$S$33),Anmeldung!$B$26&amp;": "&amp;Anmeldung!$D$26&amp;", "&amp;Anmeldung!$E$26&amp;" / "&amp;Anmeldung!$G$26&amp;" / "&amp;Anmeldung!$J$26,"")</f>
        <v/>
      </c>
      <c r="DU13" t="str">
        <f>IF(AND(19&lt;&gt;26,Anmeldung!$D$26&lt;&gt;"",(Anmeldung!$B$26&amp;": "&amp;Anmeldung!$D$26&amp;", "&amp;Anmeldung!$E$26&amp;" / "&amp;Anmeldung!$G$26&amp;" / "&amp;Anmeldung!$J$26)&lt;&gt;Anmeldung!$R$33),Anmeldung!$B$26&amp;": "&amp;Anmeldung!$D$26&amp;", "&amp;Anmeldung!$E$26&amp;" / "&amp;Anmeldung!$G$26&amp;" / "&amp;Anmeldung!$J$26,"")</f>
        <v/>
      </c>
      <c r="DV13" t="str">
        <f>IF(AND(18&lt;&gt;25,Anmeldung!$D$26&lt;&gt;"",Anmeldung!$U$26="Ja",Anmeldung!$G$26=Anmeldung!$G$33,Anmeldung!$J$26=Anmeldung!$J$33),Anmeldung!$B$26&amp;": "&amp;Anmeldung!$D$26&amp;", "&amp;Anmeldung!$E$26&amp;" / "&amp;Anmeldung!$G$26&amp;" / "&amp;Anmeldung!$J$26,"")</f>
        <v/>
      </c>
      <c r="DY13" t="str">
        <f>IF(AND(19&lt;&gt;27,Anmeldung!$D$26&lt;&gt;"",Anmeldung!$G$26=Anmeldung!$G$34,Anmeldung!$J$26=Anmeldung!$J$34),Anmeldung!$B$26&amp;": "&amp;Anmeldung!$D$26&amp;", "&amp;Anmeldung!$E$26&amp;" / "&amp;Anmeldung!$G$26&amp;" / "&amp;Anmeldung!$J$26,"")</f>
        <v/>
      </c>
      <c r="DZ13" t="str">
        <f>IF(AND(19&lt;&gt;27,Anmeldung!$D$26&lt;&gt;"",Anmeldung!$G$26=Anmeldung!$G$34,Anmeldung!$J$26=Anmeldung!$J$34,(Anmeldung!$B$26&amp;": "&amp;Anmeldung!$D$26&amp;", "&amp;Anmeldung!$E$26&amp;" / "&amp;Anmeldung!$G$26&amp;" / "&amp;Anmeldung!$J$26)&lt;&gt;Anmeldung!$P$34),Anmeldung!$B$26&amp;": "&amp;Anmeldung!$D$26&amp;", "&amp;Anmeldung!$E$26&amp;" / "&amp;Anmeldung!$G$26&amp;" / "&amp;Anmeldung!$J$26,"")</f>
        <v/>
      </c>
      <c r="EA13" t="str">
        <f>IF(AND(19&lt;&gt;27,Anmeldung!$D$26&lt;&gt;"",Anmeldung!$G$26=Anmeldung!$G$34,Anmeldung!$J$26=Anmeldung!$J$34,(Anmeldung!$B$26&amp;": "&amp;Anmeldung!$D$26&amp;", "&amp;Anmeldung!$E$26&amp;" / "&amp;Anmeldung!$G$26&amp;" / "&amp;Anmeldung!$J$26)&lt;&gt;Anmeldung!$O$34),Anmeldung!$B$26&amp;": "&amp;Anmeldung!$D$26&amp;", "&amp;Anmeldung!$E$26&amp;" / "&amp;Anmeldung!$G$26&amp;" / "&amp;Anmeldung!$J$26,"")</f>
        <v/>
      </c>
      <c r="EB13" t="str">
        <f>IF(AND(19&lt;&gt;27,Anmeldung!$D$26&lt;&gt;"",Anmeldung!$G$26&lt;&gt;Anmeldung!$G$34,(Anmeldung!$B$26&amp;": "&amp;Anmeldung!$D$26&amp;", "&amp;Anmeldung!$E$26&amp;" / "&amp;Anmeldung!$G$26&amp;" / "&amp;Anmeldung!$J$26)&lt;&gt;Anmeldung!$S$34),Anmeldung!$B$26&amp;": "&amp;Anmeldung!$D$26&amp;", "&amp;Anmeldung!$E$26&amp;" / "&amp;Anmeldung!$G$26&amp;" / "&amp;Anmeldung!$J$26,"")</f>
        <v/>
      </c>
      <c r="EC13" t="str">
        <f>IF(AND(19&lt;&gt;27,Anmeldung!$D$26&lt;&gt;"",(Anmeldung!$B$26&amp;": "&amp;Anmeldung!$D$26&amp;", "&amp;Anmeldung!$E$26&amp;" / "&amp;Anmeldung!$G$26&amp;" / "&amp;Anmeldung!$J$26)&lt;&gt;Anmeldung!$R$34),Anmeldung!$B$26&amp;": "&amp;Anmeldung!$D$26&amp;", "&amp;Anmeldung!$E$26&amp;" / "&amp;Anmeldung!$G$26&amp;" / "&amp;Anmeldung!$J$26,"")</f>
        <v/>
      </c>
      <c r="ED13" t="str">
        <f>IF(AND(18&lt;&gt;26,Anmeldung!$D$26&lt;&gt;"",Anmeldung!$U$26="Ja",Anmeldung!$G$26=Anmeldung!$G$34,Anmeldung!$J$26=Anmeldung!$J$34),Anmeldung!$B$26&amp;": "&amp;Anmeldung!$D$26&amp;", "&amp;Anmeldung!$E$26&amp;" / "&amp;Anmeldung!$G$26&amp;" / "&amp;Anmeldung!$J$26,"")</f>
        <v/>
      </c>
      <c r="EG13" t="str">
        <f>IF(AND(19&lt;&gt;28,Anmeldung!$D$26&lt;&gt;"",Anmeldung!$G$26=Anmeldung!$G$35,Anmeldung!$J$26=Anmeldung!$J$35),Anmeldung!$B$26&amp;": "&amp;Anmeldung!$D$26&amp;", "&amp;Anmeldung!$E$26&amp;" / "&amp;Anmeldung!$G$26&amp;" / "&amp;Anmeldung!$J$26,"")</f>
        <v/>
      </c>
      <c r="EH13" t="str">
        <f>IF(AND(19&lt;&gt;28,Anmeldung!$D$26&lt;&gt;"",Anmeldung!$G$26=Anmeldung!$G$35,Anmeldung!$J$26=Anmeldung!$J$35,(Anmeldung!$B$26&amp;": "&amp;Anmeldung!$D$26&amp;", "&amp;Anmeldung!$E$26&amp;" / "&amp;Anmeldung!$G$26&amp;" / "&amp;Anmeldung!$J$26)&lt;&gt;Anmeldung!$P$35),Anmeldung!$B$26&amp;": "&amp;Anmeldung!$D$26&amp;", "&amp;Anmeldung!$E$26&amp;" / "&amp;Anmeldung!$G$26&amp;" / "&amp;Anmeldung!$J$26,"")</f>
        <v/>
      </c>
      <c r="EI13" t="str">
        <f>IF(AND(19&lt;&gt;28,Anmeldung!$D$26&lt;&gt;"",Anmeldung!$G$26=Anmeldung!$G$35,Anmeldung!$J$26=Anmeldung!$J$35,(Anmeldung!$B$26&amp;": "&amp;Anmeldung!$D$26&amp;", "&amp;Anmeldung!$E$26&amp;" / "&amp;Anmeldung!$G$26&amp;" / "&amp;Anmeldung!$J$26)&lt;&gt;Anmeldung!$O$35),Anmeldung!$B$26&amp;": "&amp;Anmeldung!$D$26&amp;", "&amp;Anmeldung!$E$26&amp;" / "&amp;Anmeldung!$G$26&amp;" / "&amp;Anmeldung!$J$26,"")</f>
        <v/>
      </c>
      <c r="EJ13" t="str">
        <f>IF(AND(19&lt;&gt;28,Anmeldung!$D$26&lt;&gt;"",Anmeldung!$G$26&lt;&gt;Anmeldung!$G$35,(Anmeldung!$B$26&amp;": "&amp;Anmeldung!$D$26&amp;", "&amp;Anmeldung!$E$26&amp;" / "&amp;Anmeldung!$G$26&amp;" / "&amp;Anmeldung!$J$26)&lt;&gt;Anmeldung!$S$35),Anmeldung!$B$26&amp;": "&amp;Anmeldung!$D$26&amp;", "&amp;Anmeldung!$E$26&amp;" / "&amp;Anmeldung!$G$26&amp;" / "&amp;Anmeldung!$J$26,"")</f>
        <v/>
      </c>
      <c r="EK13" t="str">
        <f>IF(AND(19&lt;&gt;28,Anmeldung!$D$26&lt;&gt;"",(Anmeldung!$B$26&amp;": "&amp;Anmeldung!$D$26&amp;", "&amp;Anmeldung!$E$26&amp;" / "&amp;Anmeldung!$G$26&amp;" / "&amp;Anmeldung!$J$26)&lt;&gt;Anmeldung!$R$35),Anmeldung!$B$26&amp;": "&amp;Anmeldung!$D$26&amp;", "&amp;Anmeldung!$E$26&amp;" / "&amp;Anmeldung!$G$26&amp;" / "&amp;Anmeldung!$J$26,"")</f>
        <v/>
      </c>
      <c r="EL13" t="str">
        <f>IF(AND(18&lt;&gt;27,Anmeldung!$D$26&lt;&gt;"",Anmeldung!$U$26="Ja",Anmeldung!$G$26=Anmeldung!$G$35,Anmeldung!$J$26=Anmeldung!$J$35),Anmeldung!$B$26&amp;": "&amp;Anmeldung!$D$26&amp;", "&amp;Anmeldung!$E$26&amp;" / "&amp;Anmeldung!$G$26&amp;" / "&amp;Anmeldung!$J$26,"")</f>
        <v/>
      </c>
      <c r="EO13" t="str">
        <f>IF(AND(19&lt;&gt;29,Anmeldung!$D$26&lt;&gt;"",Anmeldung!$G$26=Anmeldung!$G$36,Anmeldung!$J$26=Anmeldung!$J$36),Anmeldung!$B$26&amp;": "&amp;Anmeldung!$D$26&amp;", "&amp;Anmeldung!$E$26&amp;" / "&amp;Anmeldung!$G$26&amp;" / "&amp;Anmeldung!$J$26,"")</f>
        <v/>
      </c>
      <c r="EP13" t="str">
        <f>IF(AND(19&lt;&gt;29,Anmeldung!$D$26&lt;&gt;"",Anmeldung!$G$26=Anmeldung!$G$36,Anmeldung!$J$26=Anmeldung!$J$36,(Anmeldung!$B$26&amp;": "&amp;Anmeldung!$D$26&amp;", "&amp;Anmeldung!$E$26&amp;" / "&amp;Anmeldung!$G$26&amp;" / "&amp;Anmeldung!$J$26)&lt;&gt;Anmeldung!$P$36),Anmeldung!$B$26&amp;": "&amp;Anmeldung!$D$26&amp;", "&amp;Anmeldung!$E$26&amp;" / "&amp;Anmeldung!$G$26&amp;" / "&amp;Anmeldung!$J$26,"")</f>
        <v/>
      </c>
      <c r="EQ13" t="str">
        <f>IF(AND(19&lt;&gt;29,Anmeldung!$D$26&lt;&gt;"",Anmeldung!$G$26=Anmeldung!$G$36,Anmeldung!$J$26=Anmeldung!$J$36,(Anmeldung!$B$26&amp;": "&amp;Anmeldung!$D$26&amp;", "&amp;Anmeldung!$E$26&amp;" / "&amp;Anmeldung!$G$26&amp;" / "&amp;Anmeldung!$J$26)&lt;&gt;Anmeldung!$O$36),Anmeldung!$B$26&amp;": "&amp;Anmeldung!$D$26&amp;", "&amp;Anmeldung!$E$26&amp;" / "&amp;Anmeldung!$G$26&amp;" / "&amp;Anmeldung!$J$26,"")</f>
        <v/>
      </c>
      <c r="ER13" t="str">
        <f>IF(AND(19&lt;&gt;29,Anmeldung!$D$26&lt;&gt;"",Anmeldung!$G$26&lt;&gt;Anmeldung!$G$36,(Anmeldung!$B$26&amp;": "&amp;Anmeldung!$D$26&amp;", "&amp;Anmeldung!$E$26&amp;" / "&amp;Anmeldung!$G$26&amp;" / "&amp;Anmeldung!$J$26)&lt;&gt;Anmeldung!$S$36),Anmeldung!$B$26&amp;": "&amp;Anmeldung!$D$26&amp;", "&amp;Anmeldung!$E$26&amp;" / "&amp;Anmeldung!$G$26&amp;" / "&amp;Anmeldung!$J$26,"")</f>
        <v/>
      </c>
      <c r="ES13" t="str">
        <f>IF(AND(19&lt;&gt;29,Anmeldung!$D$26&lt;&gt;"",(Anmeldung!$B$26&amp;": "&amp;Anmeldung!$D$26&amp;", "&amp;Anmeldung!$E$26&amp;" / "&amp;Anmeldung!$G$26&amp;" / "&amp;Anmeldung!$J$26)&lt;&gt;Anmeldung!$R$36),Anmeldung!$B$26&amp;": "&amp;Anmeldung!$D$26&amp;", "&amp;Anmeldung!$E$26&amp;" / "&amp;Anmeldung!$G$26&amp;" / "&amp;Anmeldung!$J$26,"")</f>
        <v/>
      </c>
      <c r="ET13" t="str">
        <f>IF(AND(18&lt;&gt;28,Anmeldung!$D$26&lt;&gt;"",Anmeldung!$U$26="Ja",Anmeldung!$G$26=Anmeldung!$G$36,Anmeldung!$J$26=Anmeldung!$J$36),Anmeldung!$B$26&amp;": "&amp;Anmeldung!$D$26&amp;", "&amp;Anmeldung!$E$26&amp;" / "&amp;Anmeldung!$G$26&amp;" / "&amp;Anmeldung!$J$26,"")</f>
        <v/>
      </c>
      <c r="EW13" t="str">
        <f>IF(AND(19&lt;&gt;30,Anmeldung!$D$26&lt;&gt;"",Anmeldung!$G$26=Anmeldung!$G$37,Anmeldung!$J$26=Anmeldung!$J$37),Anmeldung!$B$26&amp;": "&amp;Anmeldung!$D$26&amp;", "&amp;Anmeldung!$E$26&amp;" / "&amp;Anmeldung!$G$26&amp;" / "&amp;Anmeldung!$J$26,"")</f>
        <v/>
      </c>
      <c r="EX13" t="str">
        <f>IF(AND(19&lt;&gt;30,Anmeldung!$D$26&lt;&gt;"",Anmeldung!$G$26=Anmeldung!$G$37,Anmeldung!$J$26=Anmeldung!$J$37,(Anmeldung!$B$26&amp;": "&amp;Anmeldung!$D$26&amp;", "&amp;Anmeldung!$E$26&amp;" / "&amp;Anmeldung!$G$26&amp;" / "&amp;Anmeldung!$J$26)&lt;&gt;Anmeldung!$P$37),Anmeldung!$B$26&amp;": "&amp;Anmeldung!$D$26&amp;", "&amp;Anmeldung!$E$26&amp;" / "&amp;Anmeldung!$G$26&amp;" / "&amp;Anmeldung!$J$26,"")</f>
        <v/>
      </c>
      <c r="EY13" t="str">
        <f>IF(AND(19&lt;&gt;30,Anmeldung!$D$26&lt;&gt;"",Anmeldung!$G$26=Anmeldung!$G$37,Anmeldung!$J$26=Anmeldung!$J$37,(Anmeldung!$B$26&amp;": "&amp;Anmeldung!$D$26&amp;", "&amp;Anmeldung!$E$26&amp;" / "&amp;Anmeldung!$G$26&amp;" / "&amp;Anmeldung!$J$26)&lt;&gt;Anmeldung!$O$37),Anmeldung!$B$26&amp;": "&amp;Anmeldung!$D$26&amp;", "&amp;Anmeldung!$E$26&amp;" / "&amp;Anmeldung!$G$26&amp;" / "&amp;Anmeldung!$J$26,"")</f>
        <v/>
      </c>
      <c r="EZ13" t="str">
        <f>IF(AND(19&lt;&gt;30,Anmeldung!$D$26&lt;&gt;"",Anmeldung!$G$26&lt;&gt;Anmeldung!$G$37,(Anmeldung!$B$26&amp;": "&amp;Anmeldung!$D$26&amp;", "&amp;Anmeldung!$E$26&amp;" / "&amp;Anmeldung!$G$26&amp;" / "&amp;Anmeldung!$J$26)&lt;&gt;Anmeldung!$S$37),Anmeldung!$B$26&amp;": "&amp;Anmeldung!$D$26&amp;", "&amp;Anmeldung!$E$26&amp;" / "&amp;Anmeldung!$G$26&amp;" / "&amp;Anmeldung!$J$26,"")</f>
        <v/>
      </c>
      <c r="FA13" t="str">
        <f>IF(AND(19&lt;&gt;30,Anmeldung!$D$26&lt;&gt;"",(Anmeldung!$B$26&amp;": "&amp;Anmeldung!$D$26&amp;", "&amp;Anmeldung!$E$26&amp;" / "&amp;Anmeldung!$G$26&amp;" / "&amp;Anmeldung!$J$26)&lt;&gt;Anmeldung!$R$37),Anmeldung!$B$26&amp;": "&amp;Anmeldung!$D$26&amp;", "&amp;Anmeldung!$E$26&amp;" / "&amp;Anmeldung!$G$26&amp;" / "&amp;Anmeldung!$J$26,"")</f>
        <v/>
      </c>
      <c r="FB13" t="str">
        <f>IF(AND(18&lt;&gt;29,Anmeldung!$D$26&lt;&gt;"",Anmeldung!$U$26="Ja",Anmeldung!$G$26=Anmeldung!$G$37,Anmeldung!$J$26=Anmeldung!$J$37),Anmeldung!$B$26&amp;": "&amp;Anmeldung!$D$26&amp;", "&amp;Anmeldung!$E$26&amp;" / "&amp;Anmeldung!$G$26&amp;" / "&amp;Anmeldung!$J$26,"")</f>
        <v/>
      </c>
      <c r="FE13" t="str">
        <f>IF(AND(19&lt;&gt;31,Anmeldung!$D$26&lt;&gt;"",Anmeldung!$G$26=Anmeldung!$G$38,Anmeldung!$J$26=Anmeldung!$J$38),Anmeldung!$B$26&amp;": "&amp;Anmeldung!$D$26&amp;", "&amp;Anmeldung!$E$26&amp;" / "&amp;Anmeldung!$G$26&amp;" / "&amp;Anmeldung!$J$26,"")</f>
        <v/>
      </c>
      <c r="FF13" t="str">
        <f>IF(AND(19&lt;&gt;31,Anmeldung!$D$26&lt;&gt;"",Anmeldung!$G$26=Anmeldung!$G$38,Anmeldung!$J$26=Anmeldung!$J$38,(Anmeldung!$B$26&amp;": "&amp;Anmeldung!$D$26&amp;", "&amp;Anmeldung!$E$26&amp;" / "&amp;Anmeldung!$G$26&amp;" / "&amp;Anmeldung!$J$26)&lt;&gt;Anmeldung!$P$38),Anmeldung!$B$26&amp;": "&amp;Anmeldung!$D$26&amp;", "&amp;Anmeldung!$E$26&amp;" / "&amp;Anmeldung!$G$26&amp;" / "&amp;Anmeldung!$J$26,"")</f>
        <v/>
      </c>
      <c r="FG13" t="str">
        <f>IF(AND(19&lt;&gt;31,Anmeldung!$D$26&lt;&gt;"",Anmeldung!$G$26=Anmeldung!$G$38,Anmeldung!$J$26=Anmeldung!$J$38,(Anmeldung!$B$26&amp;": "&amp;Anmeldung!$D$26&amp;", "&amp;Anmeldung!$E$26&amp;" / "&amp;Anmeldung!$G$26&amp;" / "&amp;Anmeldung!$J$26)&lt;&gt;Anmeldung!$O$38),Anmeldung!$B$26&amp;": "&amp;Anmeldung!$D$26&amp;", "&amp;Anmeldung!$E$26&amp;" / "&amp;Anmeldung!$G$26&amp;" / "&amp;Anmeldung!$J$26,"")</f>
        <v/>
      </c>
      <c r="FH13" t="str">
        <f>IF(AND(19&lt;&gt;31,Anmeldung!$D$26&lt;&gt;"",Anmeldung!$G$26&lt;&gt;Anmeldung!$G$38,(Anmeldung!$B$26&amp;": "&amp;Anmeldung!$D$26&amp;", "&amp;Anmeldung!$E$26&amp;" / "&amp;Anmeldung!$G$26&amp;" / "&amp;Anmeldung!$J$26)&lt;&gt;Anmeldung!$S$38),Anmeldung!$B$26&amp;": "&amp;Anmeldung!$D$26&amp;", "&amp;Anmeldung!$E$26&amp;" / "&amp;Anmeldung!$G$26&amp;" / "&amp;Anmeldung!$J$26,"")</f>
        <v/>
      </c>
      <c r="FI13" t="str">
        <f>IF(AND(19&lt;&gt;31,Anmeldung!$D$26&lt;&gt;"",(Anmeldung!$B$26&amp;": "&amp;Anmeldung!$D$26&amp;", "&amp;Anmeldung!$E$26&amp;" / "&amp;Anmeldung!$G$26&amp;" / "&amp;Anmeldung!$J$26)&lt;&gt;Anmeldung!$R$38),Anmeldung!$B$26&amp;": "&amp;Anmeldung!$D$26&amp;", "&amp;Anmeldung!$E$26&amp;" / "&amp;Anmeldung!$G$26&amp;" / "&amp;Anmeldung!$J$26,"")</f>
        <v/>
      </c>
      <c r="FJ13" t="str">
        <f>IF(AND(18&lt;&gt;30,Anmeldung!$D$26&lt;&gt;"",Anmeldung!$U$26="Ja",Anmeldung!$G$26=Anmeldung!$G$38,Anmeldung!$J$26=Anmeldung!$J$38),Anmeldung!$B$26&amp;": "&amp;Anmeldung!$D$26&amp;", "&amp;Anmeldung!$E$26&amp;" / "&amp;Anmeldung!$G$26&amp;" / "&amp;Anmeldung!$J$26,"")</f>
        <v/>
      </c>
      <c r="FM13" t="str">
        <f>IF(AND(19&lt;&gt;32,Anmeldung!$D$26&lt;&gt;"",Anmeldung!$G$26=Anmeldung!$G$39,Anmeldung!$J$26=Anmeldung!$J$39),Anmeldung!$B$26&amp;": "&amp;Anmeldung!$D$26&amp;", "&amp;Anmeldung!$E$26&amp;" / "&amp;Anmeldung!$G$26&amp;" / "&amp;Anmeldung!$J$26,"")</f>
        <v/>
      </c>
      <c r="FN13" t="str">
        <f>IF(AND(19&lt;&gt;32,Anmeldung!$D$26&lt;&gt;"",Anmeldung!$G$26=Anmeldung!$G$39,Anmeldung!$J$26=Anmeldung!$J$39,(Anmeldung!$B$26&amp;": "&amp;Anmeldung!$D$26&amp;", "&amp;Anmeldung!$E$26&amp;" / "&amp;Anmeldung!$G$26&amp;" / "&amp;Anmeldung!$J$26)&lt;&gt;Anmeldung!$P$39),Anmeldung!$B$26&amp;": "&amp;Anmeldung!$D$26&amp;", "&amp;Anmeldung!$E$26&amp;" / "&amp;Anmeldung!$G$26&amp;" / "&amp;Anmeldung!$J$26,"")</f>
        <v/>
      </c>
      <c r="FO13" t="str">
        <f>IF(AND(19&lt;&gt;32,Anmeldung!$D$26&lt;&gt;"",Anmeldung!$G$26=Anmeldung!$G$39,Anmeldung!$J$26=Anmeldung!$J$39,(Anmeldung!$B$26&amp;": "&amp;Anmeldung!$D$26&amp;", "&amp;Anmeldung!$E$26&amp;" / "&amp;Anmeldung!$G$26&amp;" / "&amp;Anmeldung!$J$26)&lt;&gt;Anmeldung!$O$39),Anmeldung!$B$26&amp;": "&amp;Anmeldung!$D$26&amp;", "&amp;Anmeldung!$E$26&amp;" / "&amp;Anmeldung!$G$26&amp;" / "&amp;Anmeldung!$J$26,"")</f>
        <v/>
      </c>
      <c r="FP13" t="str">
        <f>IF(AND(19&lt;&gt;32,Anmeldung!$D$26&lt;&gt;"",Anmeldung!$G$26&lt;&gt;Anmeldung!$G$39,(Anmeldung!$B$26&amp;": "&amp;Anmeldung!$D$26&amp;", "&amp;Anmeldung!$E$26&amp;" / "&amp;Anmeldung!$G$26&amp;" / "&amp;Anmeldung!$J$26)&lt;&gt;Anmeldung!$S$39),Anmeldung!$B$26&amp;": "&amp;Anmeldung!$D$26&amp;", "&amp;Anmeldung!$E$26&amp;" / "&amp;Anmeldung!$G$26&amp;" / "&amp;Anmeldung!$J$26,"")</f>
        <v/>
      </c>
      <c r="FQ13" t="str">
        <f>IF(AND(19&lt;&gt;32,Anmeldung!$D$26&lt;&gt;"",(Anmeldung!$B$26&amp;": "&amp;Anmeldung!$D$26&amp;", "&amp;Anmeldung!$E$26&amp;" / "&amp;Anmeldung!$G$26&amp;" / "&amp;Anmeldung!$J$26)&lt;&gt;Anmeldung!$R$39),Anmeldung!$B$26&amp;": "&amp;Anmeldung!$D$26&amp;", "&amp;Anmeldung!$E$26&amp;" / "&amp;Anmeldung!$G$26&amp;" / "&amp;Anmeldung!$J$26,"")</f>
        <v/>
      </c>
      <c r="FR13" t="str">
        <f>IF(AND(18&lt;&gt;31,Anmeldung!$D$26&lt;&gt;"",Anmeldung!$U$26="Ja",Anmeldung!$G$26=Anmeldung!$G$39,Anmeldung!$J$26=Anmeldung!$J$39),Anmeldung!$B$26&amp;": "&amp;Anmeldung!$D$26&amp;", "&amp;Anmeldung!$E$26&amp;" / "&amp;Anmeldung!$G$26&amp;" / "&amp;Anmeldung!$J$26,"")</f>
        <v/>
      </c>
      <c r="FU13" t="str">
        <f>IF(AND(19&lt;&gt;33,Anmeldung!$D$26&lt;&gt;"",Anmeldung!$G$26=Anmeldung!$G$40,Anmeldung!$J$26=Anmeldung!$J$40),Anmeldung!$B$26&amp;": "&amp;Anmeldung!$D$26&amp;", "&amp;Anmeldung!$E$26&amp;" / "&amp;Anmeldung!$G$26&amp;" / "&amp;Anmeldung!$J$26,"")</f>
        <v/>
      </c>
      <c r="FV13" t="str">
        <f>IF(AND(19&lt;&gt;33,Anmeldung!$D$26&lt;&gt;"",Anmeldung!$G$26=Anmeldung!$G$40,Anmeldung!$J$26=Anmeldung!$J$40,(Anmeldung!$B$26&amp;": "&amp;Anmeldung!$D$26&amp;", "&amp;Anmeldung!$E$26&amp;" / "&amp;Anmeldung!$G$26&amp;" / "&amp;Anmeldung!$J$26)&lt;&gt;Anmeldung!$P$40),Anmeldung!$B$26&amp;": "&amp;Anmeldung!$D$26&amp;", "&amp;Anmeldung!$E$26&amp;" / "&amp;Anmeldung!$G$26&amp;" / "&amp;Anmeldung!$J$26,"")</f>
        <v/>
      </c>
      <c r="FW13" t="str">
        <f>IF(AND(19&lt;&gt;33,Anmeldung!$D$26&lt;&gt;"",Anmeldung!$G$26=Anmeldung!$G$40,Anmeldung!$J$26=Anmeldung!$J$40,(Anmeldung!$B$26&amp;": "&amp;Anmeldung!$D$26&amp;", "&amp;Anmeldung!$E$26&amp;" / "&amp;Anmeldung!$G$26&amp;" / "&amp;Anmeldung!$J$26)&lt;&gt;Anmeldung!$O$40),Anmeldung!$B$26&amp;": "&amp;Anmeldung!$D$26&amp;", "&amp;Anmeldung!$E$26&amp;" / "&amp;Anmeldung!$G$26&amp;" / "&amp;Anmeldung!$J$26,"")</f>
        <v/>
      </c>
      <c r="FX13" t="str">
        <f>IF(AND(19&lt;&gt;33,Anmeldung!$D$26&lt;&gt;"",Anmeldung!$G$26&lt;&gt;Anmeldung!$G$40,(Anmeldung!$B$26&amp;": "&amp;Anmeldung!$D$26&amp;", "&amp;Anmeldung!$E$26&amp;" / "&amp;Anmeldung!$G$26&amp;" / "&amp;Anmeldung!$J$26)&lt;&gt;Anmeldung!$S$40),Anmeldung!$B$26&amp;": "&amp;Anmeldung!$D$26&amp;", "&amp;Anmeldung!$E$26&amp;" / "&amp;Anmeldung!$G$26&amp;" / "&amp;Anmeldung!$J$26,"")</f>
        <v/>
      </c>
      <c r="FY13" t="str">
        <f>IF(AND(19&lt;&gt;33,Anmeldung!$D$26&lt;&gt;"",(Anmeldung!$B$26&amp;": "&amp;Anmeldung!$D$26&amp;", "&amp;Anmeldung!$E$26&amp;" / "&amp;Anmeldung!$G$26&amp;" / "&amp;Anmeldung!$J$26)&lt;&gt;Anmeldung!$R$40),Anmeldung!$B$26&amp;": "&amp;Anmeldung!$D$26&amp;", "&amp;Anmeldung!$E$26&amp;" / "&amp;Anmeldung!$G$26&amp;" / "&amp;Anmeldung!$J$26,"")</f>
        <v/>
      </c>
      <c r="FZ13" t="str">
        <f>IF(AND(18&lt;&gt;32,Anmeldung!$D$26&lt;&gt;"",Anmeldung!$U$26="Ja",Anmeldung!$G$26=Anmeldung!$G$40,Anmeldung!$J$26=Anmeldung!$J$40),Anmeldung!$B$26&amp;": "&amp;Anmeldung!$D$26&amp;", "&amp;Anmeldung!$E$26&amp;" / "&amp;Anmeldung!$G$26&amp;" / "&amp;Anmeldung!$J$26,"")</f>
        <v/>
      </c>
      <c r="GC13" t="str">
        <f>IF(AND(19&lt;&gt;34,Anmeldung!$D$26&lt;&gt;"",Anmeldung!$G$26=Anmeldung!$G$41,Anmeldung!$J$26=Anmeldung!$J$41),Anmeldung!$B$26&amp;": "&amp;Anmeldung!$D$26&amp;", "&amp;Anmeldung!$E$26&amp;" / "&amp;Anmeldung!$G$26&amp;" / "&amp;Anmeldung!$J$26,"")</f>
        <v/>
      </c>
      <c r="GD13" t="str">
        <f>IF(AND(19&lt;&gt;34,Anmeldung!$D$26&lt;&gt;"",Anmeldung!$G$26=Anmeldung!$G$41,Anmeldung!$J$26=Anmeldung!$J$41,(Anmeldung!$B$26&amp;": "&amp;Anmeldung!$D$26&amp;", "&amp;Anmeldung!$E$26&amp;" / "&amp;Anmeldung!$G$26&amp;" / "&amp;Anmeldung!$J$26)&lt;&gt;Anmeldung!$P$41),Anmeldung!$B$26&amp;": "&amp;Anmeldung!$D$26&amp;", "&amp;Anmeldung!$E$26&amp;" / "&amp;Anmeldung!$G$26&amp;" / "&amp;Anmeldung!$J$26,"")</f>
        <v/>
      </c>
      <c r="GE13" t="str">
        <f>IF(AND(19&lt;&gt;34,Anmeldung!$D$26&lt;&gt;"",Anmeldung!$G$26=Anmeldung!$G$41,Anmeldung!$J$26=Anmeldung!$J$41,(Anmeldung!$B$26&amp;": "&amp;Anmeldung!$D$26&amp;", "&amp;Anmeldung!$E$26&amp;" / "&amp;Anmeldung!$G$26&amp;" / "&amp;Anmeldung!$J$26)&lt;&gt;Anmeldung!$O$41),Anmeldung!$B$26&amp;": "&amp;Anmeldung!$D$26&amp;", "&amp;Anmeldung!$E$26&amp;" / "&amp;Anmeldung!$G$26&amp;" / "&amp;Anmeldung!$J$26,"")</f>
        <v/>
      </c>
      <c r="GF13" t="str">
        <f>IF(AND(19&lt;&gt;34,Anmeldung!$D$26&lt;&gt;"",Anmeldung!$G$26&lt;&gt;Anmeldung!$G$41,(Anmeldung!$B$26&amp;": "&amp;Anmeldung!$D$26&amp;", "&amp;Anmeldung!$E$26&amp;" / "&amp;Anmeldung!$G$26&amp;" / "&amp;Anmeldung!$J$26)&lt;&gt;Anmeldung!$S$41),Anmeldung!$B$26&amp;": "&amp;Anmeldung!$D$26&amp;", "&amp;Anmeldung!$E$26&amp;" / "&amp;Anmeldung!$G$26&amp;" / "&amp;Anmeldung!$J$26,"")</f>
        <v/>
      </c>
      <c r="GG13" t="str">
        <f>IF(AND(19&lt;&gt;34,Anmeldung!$D$26&lt;&gt;"",(Anmeldung!$B$26&amp;": "&amp;Anmeldung!$D$26&amp;", "&amp;Anmeldung!$E$26&amp;" / "&amp;Anmeldung!$G$26&amp;" / "&amp;Anmeldung!$J$26)&lt;&gt;Anmeldung!$R$41),Anmeldung!$B$26&amp;": "&amp;Anmeldung!$D$26&amp;", "&amp;Anmeldung!$E$26&amp;" / "&amp;Anmeldung!$G$26&amp;" / "&amp;Anmeldung!$J$26,"")</f>
        <v/>
      </c>
      <c r="GH13" t="str">
        <f>IF(AND(18&lt;&gt;33,Anmeldung!$D$26&lt;&gt;"",Anmeldung!$U$26="Ja",Anmeldung!$G$26=Anmeldung!$G$41,Anmeldung!$J$26=Anmeldung!$J$41),Anmeldung!$B$26&amp;": "&amp;Anmeldung!$D$26&amp;", "&amp;Anmeldung!$E$26&amp;" / "&amp;Anmeldung!$G$26&amp;" / "&amp;Anmeldung!$J$26,"")</f>
        <v/>
      </c>
      <c r="GK13" t="str">
        <f>IF(AND(19&lt;&gt;35,Anmeldung!$D$26&lt;&gt;"",Anmeldung!$G$26=Anmeldung!$G$42,Anmeldung!$J$26=Anmeldung!$J$42),Anmeldung!$B$26&amp;": "&amp;Anmeldung!$D$26&amp;", "&amp;Anmeldung!$E$26&amp;" / "&amp;Anmeldung!$G$26&amp;" / "&amp;Anmeldung!$J$26,"")</f>
        <v/>
      </c>
      <c r="GL13" t="str">
        <f>IF(AND(19&lt;&gt;35,Anmeldung!$D$26&lt;&gt;"",Anmeldung!$G$26=Anmeldung!$G$42,Anmeldung!$J$26=Anmeldung!$J$42,(Anmeldung!$B$26&amp;": "&amp;Anmeldung!$D$26&amp;", "&amp;Anmeldung!$E$26&amp;" / "&amp;Anmeldung!$G$26&amp;" / "&amp;Anmeldung!$J$26)&lt;&gt;Anmeldung!$P$42),Anmeldung!$B$26&amp;": "&amp;Anmeldung!$D$26&amp;", "&amp;Anmeldung!$E$26&amp;" / "&amp;Anmeldung!$G$26&amp;" / "&amp;Anmeldung!$J$26,"")</f>
        <v/>
      </c>
      <c r="GM13" t="str">
        <f>IF(AND(19&lt;&gt;35,Anmeldung!$D$26&lt;&gt;"",Anmeldung!$G$26=Anmeldung!$G$42,Anmeldung!$J$26=Anmeldung!$J$42,(Anmeldung!$B$26&amp;": "&amp;Anmeldung!$D$26&amp;", "&amp;Anmeldung!$E$26&amp;" / "&amp;Anmeldung!$G$26&amp;" / "&amp;Anmeldung!$J$26)&lt;&gt;Anmeldung!$O$42),Anmeldung!$B$26&amp;": "&amp;Anmeldung!$D$26&amp;", "&amp;Anmeldung!$E$26&amp;" / "&amp;Anmeldung!$G$26&amp;" / "&amp;Anmeldung!$J$26,"")</f>
        <v/>
      </c>
      <c r="GN13" t="str">
        <f>IF(AND(19&lt;&gt;35,Anmeldung!$D$26&lt;&gt;"",Anmeldung!$G$26&lt;&gt;Anmeldung!$G$42,(Anmeldung!$B$26&amp;": "&amp;Anmeldung!$D$26&amp;", "&amp;Anmeldung!$E$26&amp;" / "&amp;Anmeldung!$G$26&amp;" / "&amp;Anmeldung!$J$26)&lt;&gt;Anmeldung!$S$42),Anmeldung!$B$26&amp;": "&amp;Anmeldung!$D$26&amp;", "&amp;Anmeldung!$E$26&amp;" / "&amp;Anmeldung!$G$26&amp;" / "&amp;Anmeldung!$J$26,"")</f>
        <v/>
      </c>
      <c r="GO13" t="str">
        <f>IF(AND(19&lt;&gt;35,Anmeldung!$D$26&lt;&gt;"",(Anmeldung!$B$26&amp;": "&amp;Anmeldung!$D$26&amp;", "&amp;Anmeldung!$E$26&amp;" / "&amp;Anmeldung!$G$26&amp;" / "&amp;Anmeldung!$J$26)&lt;&gt;Anmeldung!$R$42),Anmeldung!$B$26&amp;": "&amp;Anmeldung!$D$26&amp;", "&amp;Anmeldung!$E$26&amp;" / "&amp;Anmeldung!$G$26&amp;" / "&amp;Anmeldung!$J$26,"")</f>
        <v/>
      </c>
      <c r="GP13" t="str">
        <f>IF(AND(18&lt;&gt;34,Anmeldung!$D$26&lt;&gt;"",Anmeldung!$U$26="Ja",Anmeldung!$G$26=Anmeldung!$G$42,Anmeldung!$J$26=Anmeldung!$J$42),Anmeldung!$B$26&amp;": "&amp;Anmeldung!$D$26&amp;", "&amp;Anmeldung!$E$26&amp;" / "&amp;Anmeldung!$G$26&amp;" / "&amp;Anmeldung!$J$26,"")</f>
        <v/>
      </c>
      <c r="GS13" t="str">
        <f>IF(AND(19&lt;&gt;36,Anmeldung!$D$26&lt;&gt;"",Anmeldung!$G$26=Anmeldung!$G$43,Anmeldung!$J$26=Anmeldung!$J$43),Anmeldung!$B$26&amp;": "&amp;Anmeldung!$D$26&amp;", "&amp;Anmeldung!$E$26&amp;" / "&amp;Anmeldung!$G$26&amp;" / "&amp;Anmeldung!$J$26,"")</f>
        <v/>
      </c>
      <c r="GT13" t="str">
        <f>IF(AND(19&lt;&gt;36,Anmeldung!$D$26&lt;&gt;"",Anmeldung!$G$26=Anmeldung!$G$43,Anmeldung!$J$26=Anmeldung!$J$43,(Anmeldung!$B$26&amp;": "&amp;Anmeldung!$D$26&amp;", "&amp;Anmeldung!$E$26&amp;" / "&amp;Anmeldung!$G$26&amp;" / "&amp;Anmeldung!$J$26)&lt;&gt;Anmeldung!$P$43),Anmeldung!$B$26&amp;": "&amp;Anmeldung!$D$26&amp;", "&amp;Anmeldung!$E$26&amp;" / "&amp;Anmeldung!$G$26&amp;" / "&amp;Anmeldung!$J$26,"")</f>
        <v/>
      </c>
      <c r="GU13" t="str">
        <f>IF(AND(19&lt;&gt;36,Anmeldung!$D$26&lt;&gt;"",Anmeldung!$G$26=Anmeldung!$G$43,Anmeldung!$J$26=Anmeldung!$J$43,(Anmeldung!$B$26&amp;": "&amp;Anmeldung!$D$26&amp;", "&amp;Anmeldung!$E$26&amp;" / "&amp;Anmeldung!$G$26&amp;" / "&amp;Anmeldung!$J$26)&lt;&gt;Anmeldung!$O$43),Anmeldung!$B$26&amp;": "&amp;Anmeldung!$D$26&amp;", "&amp;Anmeldung!$E$26&amp;" / "&amp;Anmeldung!$G$26&amp;" / "&amp;Anmeldung!$J$26,"")</f>
        <v/>
      </c>
      <c r="GV13" t="str">
        <f>IF(AND(19&lt;&gt;36,Anmeldung!$D$26&lt;&gt;"",Anmeldung!$G$26&lt;&gt;Anmeldung!$G$43,(Anmeldung!$B$26&amp;": "&amp;Anmeldung!$D$26&amp;", "&amp;Anmeldung!$E$26&amp;" / "&amp;Anmeldung!$G$26&amp;" / "&amp;Anmeldung!$J$26)&lt;&gt;Anmeldung!$S$43),Anmeldung!$B$26&amp;": "&amp;Anmeldung!$D$26&amp;", "&amp;Anmeldung!$E$26&amp;" / "&amp;Anmeldung!$G$26&amp;" / "&amp;Anmeldung!$J$26,"")</f>
        <v/>
      </c>
      <c r="GW13" t="str">
        <f>IF(AND(19&lt;&gt;36,Anmeldung!$D$26&lt;&gt;"",(Anmeldung!$B$26&amp;": "&amp;Anmeldung!$D$26&amp;", "&amp;Anmeldung!$E$26&amp;" / "&amp;Anmeldung!$G$26&amp;" / "&amp;Anmeldung!$J$26)&lt;&gt;Anmeldung!$R$43),Anmeldung!$B$26&amp;": "&amp;Anmeldung!$D$26&amp;", "&amp;Anmeldung!$E$26&amp;" / "&amp;Anmeldung!$G$26&amp;" / "&amp;Anmeldung!$J$26,"")</f>
        <v/>
      </c>
      <c r="GX13" t="str">
        <f>IF(AND(18&lt;&gt;35,Anmeldung!$D$26&lt;&gt;"",Anmeldung!$U$26="Ja",Anmeldung!$G$26=Anmeldung!$G$43,Anmeldung!$J$26=Anmeldung!$J$43),Anmeldung!$B$26&amp;": "&amp;Anmeldung!$D$26&amp;", "&amp;Anmeldung!$E$26&amp;" / "&amp;Anmeldung!$G$26&amp;" / "&amp;Anmeldung!$J$26,"")</f>
        <v/>
      </c>
      <c r="HA13" t="str">
        <f>IF(AND(19&lt;&gt;37,Anmeldung!$D$26&lt;&gt;"",Anmeldung!$G$26=Anmeldung!$G$44,Anmeldung!$J$26=Anmeldung!$J$44),Anmeldung!$B$26&amp;": "&amp;Anmeldung!$D$26&amp;", "&amp;Anmeldung!$E$26&amp;" / "&amp;Anmeldung!$G$26&amp;" / "&amp;Anmeldung!$J$26,"")</f>
        <v/>
      </c>
      <c r="HB13" t="str">
        <f>IF(AND(19&lt;&gt;37,Anmeldung!$D$26&lt;&gt;"",Anmeldung!$G$26=Anmeldung!$G$44,Anmeldung!$J$26=Anmeldung!$J$44,(Anmeldung!$B$26&amp;": "&amp;Anmeldung!$D$26&amp;", "&amp;Anmeldung!$E$26&amp;" / "&amp;Anmeldung!$G$26&amp;" / "&amp;Anmeldung!$J$26)&lt;&gt;Anmeldung!$P$44),Anmeldung!$B$26&amp;": "&amp;Anmeldung!$D$26&amp;", "&amp;Anmeldung!$E$26&amp;" / "&amp;Anmeldung!$G$26&amp;" / "&amp;Anmeldung!$J$26,"")</f>
        <v/>
      </c>
      <c r="HC13" t="str">
        <f>IF(AND(19&lt;&gt;37,Anmeldung!$D$26&lt;&gt;"",Anmeldung!$G$26=Anmeldung!$G$44,Anmeldung!$J$26=Anmeldung!$J$44,(Anmeldung!$B$26&amp;": "&amp;Anmeldung!$D$26&amp;", "&amp;Anmeldung!$E$26&amp;" / "&amp;Anmeldung!$G$26&amp;" / "&amp;Anmeldung!$J$26)&lt;&gt;Anmeldung!$O$44),Anmeldung!$B$26&amp;": "&amp;Anmeldung!$D$26&amp;", "&amp;Anmeldung!$E$26&amp;" / "&amp;Anmeldung!$G$26&amp;" / "&amp;Anmeldung!$J$26,"")</f>
        <v/>
      </c>
      <c r="HD13" t="str">
        <f>IF(AND(19&lt;&gt;37,Anmeldung!$D$26&lt;&gt;"",Anmeldung!$G$26&lt;&gt;Anmeldung!$G$44,(Anmeldung!$B$26&amp;": "&amp;Anmeldung!$D$26&amp;", "&amp;Anmeldung!$E$26&amp;" / "&amp;Anmeldung!$G$26&amp;" / "&amp;Anmeldung!$J$26)&lt;&gt;Anmeldung!$S$44),Anmeldung!$B$26&amp;": "&amp;Anmeldung!$D$26&amp;", "&amp;Anmeldung!$E$26&amp;" / "&amp;Anmeldung!$G$26&amp;" / "&amp;Anmeldung!$J$26,"")</f>
        <v/>
      </c>
      <c r="HE13" t="str">
        <f>IF(AND(19&lt;&gt;37,Anmeldung!$D$26&lt;&gt;"",(Anmeldung!$B$26&amp;": "&amp;Anmeldung!$D$26&amp;", "&amp;Anmeldung!$E$26&amp;" / "&amp;Anmeldung!$G$26&amp;" / "&amp;Anmeldung!$J$26)&lt;&gt;Anmeldung!$R$44),Anmeldung!$B$26&amp;": "&amp;Anmeldung!$D$26&amp;", "&amp;Anmeldung!$E$26&amp;" / "&amp;Anmeldung!$G$26&amp;" / "&amp;Anmeldung!$J$26,"")</f>
        <v/>
      </c>
      <c r="HF13" t="str">
        <f>IF(AND(18&lt;&gt;36,Anmeldung!$D$26&lt;&gt;"",Anmeldung!$U$26="Ja",Anmeldung!$G$26=Anmeldung!$G$44,Anmeldung!$J$26=Anmeldung!$J$44),Anmeldung!$B$26&amp;": "&amp;Anmeldung!$D$26&amp;", "&amp;Anmeldung!$E$26&amp;" / "&amp;Anmeldung!$G$26&amp;" / "&amp;Anmeldung!$J$26,"")</f>
        <v/>
      </c>
      <c r="HI13" t="str">
        <f>IF(AND(19&lt;&gt;38,Anmeldung!$D$26&lt;&gt;"",Anmeldung!$G$26=Anmeldung!$G$45,Anmeldung!$J$26=Anmeldung!$J$45),Anmeldung!$B$26&amp;": "&amp;Anmeldung!$D$26&amp;", "&amp;Anmeldung!$E$26&amp;" / "&amp;Anmeldung!$G$26&amp;" / "&amp;Anmeldung!$J$26,"")</f>
        <v/>
      </c>
      <c r="HJ13" t="str">
        <f>IF(AND(19&lt;&gt;38,Anmeldung!$D$26&lt;&gt;"",Anmeldung!$G$26=Anmeldung!$G$45,Anmeldung!$J$26=Anmeldung!$J$45,(Anmeldung!$B$26&amp;": "&amp;Anmeldung!$D$26&amp;", "&amp;Anmeldung!$E$26&amp;" / "&amp;Anmeldung!$G$26&amp;" / "&amp;Anmeldung!$J$26)&lt;&gt;Anmeldung!$P$45),Anmeldung!$B$26&amp;": "&amp;Anmeldung!$D$26&amp;", "&amp;Anmeldung!$E$26&amp;" / "&amp;Anmeldung!$G$26&amp;" / "&amp;Anmeldung!$J$26,"")</f>
        <v/>
      </c>
      <c r="HK13" t="str">
        <f>IF(AND(19&lt;&gt;38,Anmeldung!$D$26&lt;&gt;"",Anmeldung!$G$26=Anmeldung!$G$45,Anmeldung!$J$26=Anmeldung!$J$45,(Anmeldung!$B$26&amp;": "&amp;Anmeldung!$D$26&amp;", "&amp;Anmeldung!$E$26&amp;" / "&amp;Anmeldung!$G$26&amp;" / "&amp;Anmeldung!$J$26)&lt;&gt;Anmeldung!$O$45),Anmeldung!$B$26&amp;": "&amp;Anmeldung!$D$26&amp;", "&amp;Anmeldung!$E$26&amp;" / "&amp;Anmeldung!$G$26&amp;" / "&amp;Anmeldung!$J$26,"")</f>
        <v/>
      </c>
      <c r="HL13" t="str">
        <f>IF(AND(19&lt;&gt;38,Anmeldung!$D$26&lt;&gt;"",Anmeldung!$G$26&lt;&gt;Anmeldung!$G$45,(Anmeldung!$B$26&amp;": "&amp;Anmeldung!$D$26&amp;", "&amp;Anmeldung!$E$26&amp;" / "&amp;Anmeldung!$G$26&amp;" / "&amp;Anmeldung!$J$26)&lt;&gt;Anmeldung!$S$45),Anmeldung!$B$26&amp;": "&amp;Anmeldung!$D$26&amp;", "&amp;Anmeldung!$E$26&amp;" / "&amp;Anmeldung!$G$26&amp;" / "&amp;Anmeldung!$J$26,"")</f>
        <v/>
      </c>
      <c r="HM13" t="str">
        <f>IF(AND(19&lt;&gt;38,Anmeldung!$D$26&lt;&gt;"",(Anmeldung!$B$26&amp;": "&amp;Anmeldung!$D$26&amp;", "&amp;Anmeldung!$E$26&amp;" / "&amp;Anmeldung!$G$26&amp;" / "&amp;Anmeldung!$J$26)&lt;&gt;Anmeldung!$R$45),Anmeldung!$B$26&amp;": "&amp;Anmeldung!$D$26&amp;", "&amp;Anmeldung!$E$26&amp;" / "&amp;Anmeldung!$G$26&amp;" / "&amp;Anmeldung!$J$26,"")</f>
        <v/>
      </c>
      <c r="HN13" t="str">
        <f>IF(AND(18&lt;&gt;37,Anmeldung!$D$26&lt;&gt;"",Anmeldung!$U$26="Ja",Anmeldung!$G$26=Anmeldung!$G$45,Anmeldung!$J$26=Anmeldung!$J$45),Anmeldung!$B$26&amp;": "&amp;Anmeldung!$D$26&amp;", "&amp;Anmeldung!$E$26&amp;" / "&amp;Anmeldung!$G$26&amp;" / "&amp;Anmeldung!$J$26,"")</f>
        <v/>
      </c>
      <c r="HQ13" t="str">
        <f>IF(AND(19&lt;&gt;39,Anmeldung!$D$26&lt;&gt;"",Anmeldung!$G$26=Anmeldung!$G$46,Anmeldung!$J$26=Anmeldung!$J$46),Anmeldung!$B$26&amp;": "&amp;Anmeldung!$D$26&amp;", "&amp;Anmeldung!$E$26&amp;" / "&amp;Anmeldung!$G$26&amp;" / "&amp;Anmeldung!$J$26,"")</f>
        <v/>
      </c>
      <c r="HR13" t="str">
        <f>IF(AND(19&lt;&gt;39,Anmeldung!$D$26&lt;&gt;"",Anmeldung!$G$26=Anmeldung!$G$46,Anmeldung!$J$26=Anmeldung!$J$46,(Anmeldung!$B$26&amp;": "&amp;Anmeldung!$D$26&amp;", "&amp;Anmeldung!$E$26&amp;" / "&amp;Anmeldung!$G$26&amp;" / "&amp;Anmeldung!$J$26)&lt;&gt;Anmeldung!$P$46),Anmeldung!$B$26&amp;": "&amp;Anmeldung!$D$26&amp;", "&amp;Anmeldung!$E$26&amp;" / "&amp;Anmeldung!$G$26&amp;" / "&amp;Anmeldung!$J$26,"")</f>
        <v/>
      </c>
      <c r="HS13" t="str">
        <f>IF(AND(19&lt;&gt;39,Anmeldung!$D$26&lt;&gt;"",Anmeldung!$G$26=Anmeldung!$G$46,Anmeldung!$J$26=Anmeldung!$J$46,(Anmeldung!$B$26&amp;": "&amp;Anmeldung!$D$26&amp;", "&amp;Anmeldung!$E$26&amp;" / "&amp;Anmeldung!$G$26&amp;" / "&amp;Anmeldung!$J$26)&lt;&gt;Anmeldung!$O$46),Anmeldung!$B$26&amp;": "&amp;Anmeldung!$D$26&amp;", "&amp;Anmeldung!$E$26&amp;" / "&amp;Anmeldung!$G$26&amp;" / "&amp;Anmeldung!$J$26,"")</f>
        <v/>
      </c>
      <c r="HT13" t="str">
        <f>IF(AND(19&lt;&gt;39,Anmeldung!$D$26&lt;&gt;"",Anmeldung!$G$26&lt;&gt;Anmeldung!$G$46,(Anmeldung!$B$26&amp;": "&amp;Anmeldung!$D$26&amp;", "&amp;Anmeldung!$E$26&amp;" / "&amp;Anmeldung!$G$26&amp;" / "&amp;Anmeldung!$J$26)&lt;&gt;Anmeldung!$S$46),Anmeldung!$B$26&amp;": "&amp;Anmeldung!$D$26&amp;", "&amp;Anmeldung!$E$26&amp;" / "&amp;Anmeldung!$G$26&amp;" / "&amp;Anmeldung!$J$26,"")</f>
        <v/>
      </c>
      <c r="HU13" t="str">
        <f>IF(AND(19&lt;&gt;39,Anmeldung!$D$26&lt;&gt;"",(Anmeldung!$B$26&amp;": "&amp;Anmeldung!$D$26&amp;", "&amp;Anmeldung!$E$26&amp;" / "&amp;Anmeldung!$G$26&amp;" / "&amp;Anmeldung!$J$26)&lt;&gt;Anmeldung!$R$46),Anmeldung!$B$26&amp;": "&amp;Anmeldung!$D$26&amp;", "&amp;Anmeldung!$E$26&amp;" / "&amp;Anmeldung!$G$26&amp;" / "&amp;Anmeldung!$J$26,"")</f>
        <v/>
      </c>
      <c r="HV13" t="str">
        <f>IF(AND(18&lt;&gt;38,Anmeldung!$D$26&lt;&gt;"",Anmeldung!$U$26="Ja",Anmeldung!$G$26=Anmeldung!$G$46,Anmeldung!$J$26=Anmeldung!$J$46),Anmeldung!$B$26&amp;": "&amp;Anmeldung!$D$26&amp;", "&amp;Anmeldung!$E$26&amp;" / "&amp;Anmeldung!$G$26&amp;" / "&amp;Anmeldung!$J$26,"")</f>
        <v/>
      </c>
      <c r="HY13" t="str">
        <f>IF(AND(19&lt;&gt;40,Anmeldung!$D$26&lt;&gt;"",Anmeldung!$G$26=Anmeldung!$G$47,Anmeldung!$J$26=Anmeldung!$J$47),Anmeldung!$B$26&amp;": "&amp;Anmeldung!$D$26&amp;", "&amp;Anmeldung!$E$26&amp;" / "&amp;Anmeldung!$G$26&amp;" / "&amp;Anmeldung!$J$26,"")</f>
        <v/>
      </c>
      <c r="HZ13" t="str">
        <f>IF(AND(19&lt;&gt;40,Anmeldung!$D$26&lt;&gt;"",Anmeldung!$G$26=Anmeldung!$G$47,Anmeldung!$J$26=Anmeldung!$J$47,(Anmeldung!$B$26&amp;": "&amp;Anmeldung!$D$26&amp;", "&amp;Anmeldung!$E$26&amp;" / "&amp;Anmeldung!$G$26&amp;" / "&amp;Anmeldung!$J$26)&lt;&gt;Anmeldung!$P$47),Anmeldung!$B$26&amp;": "&amp;Anmeldung!$D$26&amp;", "&amp;Anmeldung!$E$26&amp;" / "&amp;Anmeldung!$G$26&amp;" / "&amp;Anmeldung!$J$26,"")</f>
        <v/>
      </c>
      <c r="IA13" t="str">
        <f>IF(AND(19&lt;&gt;40,Anmeldung!$D$26&lt;&gt;"",Anmeldung!$G$26=Anmeldung!$G$47,Anmeldung!$J$26=Anmeldung!$J$47,(Anmeldung!$B$26&amp;": "&amp;Anmeldung!$D$26&amp;", "&amp;Anmeldung!$E$26&amp;" / "&amp;Anmeldung!$G$26&amp;" / "&amp;Anmeldung!$J$26)&lt;&gt;Anmeldung!$O$47),Anmeldung!$B$26&amp;": "&amp;Anmeldung!$D$26&amp;", "&amp;Anmeldung!$E$26&amp;" / "&amp;Anmeldung!$G$26&amp;" / "&amp;Anmeldung!$J$26,"")</f>
        <v/>
      </c>
      <c r="IB13" t="str">
        <f>IF(AND(19&lt;&gt;40,Anmeldung!$D$26&lt;&gt;"",Anmeldung!$G$26&lt;&gt;Anmeldung!$G$47,(Anmeldung!$B$26&amp;": "&amp;Anmeldung!$D$26&amp;", "&amp;Anmeldung!$E$26&amp;" / "&amp;Anmeldung!$G$26&amp;" / "&amp;Anmeldung!$J$26)&lt;&gt;Anmeldung!$S$47),Anmeldung!$B$26&amp;": "&amp;Anmeldung!$D$26&amp;", "&amp;Anmeldung!$E$26&amp;" / "&amp;Anmeldung!$G$26&amp;" / "&amp;Anmeldung!$J$26,"")</f>
        <v/>
      </c>
      <c r="IC13" t="str">
        <f>IF(AND(19&lt;&gt;40,Anmeldung!$D$26&lt;&gt;"",(Anmeldung!$B$26&amp;": "&amp;Anmeldung!$D$26&amp;", "&amp;Anmeldung!$E$26&amp;" / "&amp;Anmeldung!$G$26&amp;" / "&amp;Anmeldung!$J$26)&lt;&gt;Anmeldung!$R$47),Anmeldung!$B$26&amp;": "&amp;Anmeldung!$D$26&amp;", "&amp;Anmeldung!$E$26&amp;" / "&amp;Anmeldung!$G$26&amp;" / "&amp;Anmeldung!$J$26,"")</f>
        <v/>
      </c>
      <c r="ID13" t="str">
        <f>IF(AND(18&lt;&gt;39,Anmeldung!$D$26&lt;&gt;"",Anmeldung!$U$26="Ja",Anmeldung!$G$26=Anmeldung!$G$47,Anmeldung!$J$26=Anmeldung!$J$47),Anmeldung!$B$26&amp;": "&amp;Anmeldung!$D$26&amp;", "&amp;Anmeldung!$E$26&amp;" / "&amp;Anmeldung!$G$26&amp;" / "&amp;Anmeldung!$J$26,"")</f>
        <v/>
      </c>
    </row>
    <row r="14" spans="1:238" ht="14.25" customHeight="1" x14ac:dyDescent="0.3">
      <c r="A14" t="str">
        <f>IF(AND(20&lt;&gt;11,Anmeldung!$D$27&lt;&gt;"",Anmeldung!$G$27=Anmeldung!$G$18,Anmeldung!$J$27=Anmeldung!$J$18),Anmeldung!$B$27&amp;": "&amp;Anmeldung!$D$27&amp;", "&amp;Anmeldung!$E$27&amp;" / "&amp;Anmeldung!$G$27&amp;" / "&amp;Anmeldung!$J$27,"")</f>
        <v/>
      </c>
      <c r="B14" t="str">
        <f>IF(AND(20&lt;&gt;11,Anmeldung!$D$27&lt;&gt;"",Anmeldung!$G$27=Anmeldung!$G$18,Anmeldung!$J$27=Anmeldung!$J$18,(Anmeldung!$B$27&amp;": "&amp;Anmeldung!$D$27&amp;", "&amp;Anmeldung!$E$27&amp;" / "&amp;Anmeldung!$G$27&amp;" / "&amp;Anmeldung!$J$27)&lt;&gt;Anmeldung!$P$18),Anmeldung!$B$27&amp;": "&amp;Anmeldung!$D$27&amp;", "&amp;Anmeldung!$E$27&amp;" / "&amp;Anmeldung!$G$27&amp;" / "&amp;Anmeldung!$J$27,"")</f>
        <v/>
      </c>
      <c r="C14" t="str">
        <f>IF(AND(20&lt;&gt;11,Anmeldung!$D$27&lt;&gt;"",Anmeldung!$G$27=Anmeldung!$G$18,Anmeldung!$J$27=Anmeldung!$J$18,(Anmeldung!$B$27&amp;": "&amp;Anmeldung!$D$27&amp;", "&amp;Anmeldung!$E$27&amp;" / "&amp;Anmeldung!$G$27&amp;" / "&amp;Anmeldung!$J$27)&lt;&gt;Anmeldung!$O$18),Anmeldung!$B$27&amp;": "&amp;Anmeldung!$D$27&amp;", "&amp;Anmeldung!$E$27&amp;" / "&amp;Anmeldung!$G$27&amp;" / "&amp;Anmeldung!$J$27,"")</f>
        <v/>
      </c>
      <c r="D14" t="str">
        <f>IF(AND(20&lt;&gt;11,Anmeldung!$D$27&lt;&gt;"",Anmeldung!$G$27&lt;&gt;Anmeldung!$G$18,(Anmeldung!$B$27&amp;": "&amp;Anmeldung!$D$27&amp;", "&amp;Anmeldung!$E$27&amp;" / "&amp;Anmeldung!$G$27&amp;" / "&amp;Anmeldung!$J$27)&lt;&gt;Anmeldung!$S$18),Anmeldung!$B$27&amp;": "&amp;Anmeldung!$D$27&amp;", "&amp;Anmeldung!$E$27&amp;" / "&amp;Anmeldung!$G$27&amp;" / "&amp;Anmeldung!$J$27,"")</f>
        <v/>
      </c>
      <c r="E14" t="str">
        <f>IF(AND(20&lt;&gt;11,Anmeldung!$D$27&lt;&gt;"",(Anmeldung!$B$27&amp;": "&amp;Anmeldung!$D$27&amp;", "&amp;Anmeldung!$E$27&amp;" / "&amp;Anmeldung!$G$27&amp;" / "&amp;Anmeldung!$J$27)&lt;&gt;Anmeldung!$R$18),Anmeldung!$B$27&amp;": "&amp;Anmeldung!$D$27&amp;", "&amp;Anmeldung!$E$27&amp;" / "&amp;Anmeldung!$G$27&amp;" / "&amp;Anmeldung!$J$27,"")</f>
        <v/>
      </c>
      <c r="F14" t="str">
        <f>IF(AND(19&lt;&gt;10,Anmeldung!$D$27&lt;&gt;"",Anmeldung!$U$27="Ja",Anmeldung!$G$27=Anmeldung!$G$18,Anmeldung!$J$27=Anmeldung!$J$18),Anmeldung!$B$27&amp;": "&amp;Anmeldung!$D$27&amp;", "&amp;Anmeldung!$E$27&amp;" / "&amp;Anmeldung!$G$27&amp;" / "&amp;Anmeldung!$J$27,"")</f>
        <v/>
      </c>
      <c r="I14" t="str">
        <f>IF(AND(20&lt;&gt;12,Anmeldung!$D$27&lt;&gt;"",Anmeldung!$G$27=Anmeldung!$G$19,Anmeldung!$J$27=Anmeldung!$J$19),Anmeldung!$B$27&amp;": "&amp;Anmeldung!$D$27&amp;", "&amp;Anmeldung!$E$27&amp;" / "&amp;Anmeldung!$G$27&amp;" / "&amp;Anmeldung!$J$27,"")</f>
        <v/>
      </c>
      <c r="J14" t="str">
        <f>IF(AND(20&lt;&gt;12,Anmeldung!$D$27&lt;&gt;"",Anmeldung!$G$27=Anmeldung!$G$19,Anmeldung!$J$27=Anmeldung!$J$19,(Anmeldung!$B$27&amp;": "&amp;Anmeldung!$D$27&amp;", "&amp;Anmeldung!$E$27&amp;" / "&amp;Anmeldung!$G$27&amp;" / "&amp;Anmeldung!$J$27)&lt;&gt;Anmeldung!$P$19),Anmeldung!$B$27&amp;": "&amp;Anmeldung!$D$27&amp;", "&amp;Anmeldung!$E$27&amp;" / "&amp;Anmeldung!$G$27&amp;" / "&amp;Anmeldung!$J$27,"")</f>
        <v/>
      </c>
      <c r="K14" t="str">
        <f>IF(AND(20&lt;&gt;12,Anmeldung!$D$27&lt;&gt;"",Anmeldung!$G$27=Anmeldung!$G$19,Anmeldung!$J$27=Anmeldung!$J$19,(Anmeldung!$B$27&amp;": "&amp;Anmeldung!$D$27&amp;", "&amp;Anmeldung!$E$27&amp;" / "&amp;Anmeldung!$G$27&amp;" / "&amp;Anmeldung!$J$27)&lt;&gt;Anmeldung!$O$19),Anmeldung!$B$27&amp;": "&amp;Anmeldung!$D$27&amp;", "&amp;Anmeldung!$E$27&amp;" / "&amp;Anmeldung!$G$27&amp;" / "&amp;Anmeldung!$J$27,"")</f>
        <v/>
      </c>
      <c r="L14" t="str">
        <f>IF(AND(20&lt;&gt;12,Anmeldung!$D$27&lt;&gt;"",Anmeldung!$G$27&lt;&gt;Anmeldung!$G$19,(Anmeldung!$B$27&amp;": "&amp;Anmeldung!$D$27&amp;", "&amp;Anmeldung!$E$27&amp;" / "&amp;Anmeldung!$G$27&amp;" / "&amp;Anmeldung!$J$27)&lt;&gt;Anmeldung!$S$19),Anmeldung!$B$27&amp;": "&amp;Anmeldung!$D$27&amp;", "&amp;Anmeldung!$E$27&amp;" / "&amp;Anmeldung!$G$27&amp;" / "&amp;Anmeldung!$J$27,"")</f>
        <v/>
      </c>
      <c r="M14" t="str">
        <f>IF(AND(20&lt;&gt;12,Anmeldung!$D$27&lt;&gt;"",(Anmeldung!$B$27&amp;": "&amp;Anmeldung!$D$27&amp;", "&amp;Anmeldung!$E$27&amp;" / "&amp;Anmeldung!$G$27&amp;" / "&amp;Anmeldung!$J$27)&lt;&gt;Anmeldung!$R$19),Anmeldung!$B$27&amp;": "&amp;Anmeldung!$D$27&amp;", "&amp;Anmeldung!$E$27&amp;" / "&amp;Anmeldung!$G$27&amp;" / "&amp;Anmeldung!$J$27,"")</f>
        <v/>
      </c>
      <c r="N14" t="str">
        <f>IF(AND(19&lt;&gt;11,Anmeldung!$D$27&lt;&gt;"",Anmeldung!$U$27="Ja",Anmeldung!$G$27=Anmeldung!$G$19,Anmeldung!$J$27=Anmeldung!$J$19),Anmeldung!$B$27&amp;": "&amp;Anmeldung!$D$27&amp;", "&amp;Anmeldung!$E$27&amp;" / "&amp;Anmeldung!$G$27&amp;" / "&amp;Anmeldung!$J$27,"")</f>
        <v/>
      </c>
      <c r="Q14" t="str">
        <f>IF(AND(20&lt;&gt;13,Anmeldung!$D$27&lt;&gt;"",Anmeldung!$G$27=Anmeldung!$G$20,Anmeldung!$J$27=Anmeldung!$J$20),Anmeldung!$B$27&amp;": "&amp;Anmeldung!$D$27&amp;", "&amp;Anmeldung!$E$27&amp;" / "&amp;Anmeldung!$G$27&amp;" / "&amp;Anmeldung!$J$27,"")</f>
        <v/>
      </c>
      <c r="R14" t="str">
        <f>IF(AND(20&lt;&gt;13,Anmeldung!$D$27&lt;&gt;"",Anmeldung!$G$27=Anmeldung!$G$20,Anmeldung!$J$27=Anmeldung!$J$20,(Anmeldung!$B$27&amp;": "&amp;Anmeldung!$D$27&amp;", "&amp;Anmeldung!$E$27&amp;" / "&amp;Anmeldung!$G$27&amp;" / "&amp;Anmeldung!$J$27)&lt;&gt;Anmeldung!$P$20),Anmeldung!$B$27&amp;": "&amp;Anmeldung!$D$27&amp;", "&amp;Anmeldung!$E$27&amp;" / "&amp;Anmeldung!$G$27&amp;" / "&amp;Anmeldung!$J$27,"")</f>
        <v/>
      </c>
      <c r="S14" t="str">
        <f>IF(AND(20&lt;&gt;13,Anmeldung!$D$27&lt;&gt;"",Anmeldung!$G$27=Anmeldung!$G$20,Anmeldung!$J$27=Anmeldung!$J$20,(Anmeldung!$B$27&amp;": "&amp;Anmeldung!$D$27&amp;", "&amp;Anmeldung!$E$27&amp;" / "&amp;Anmeldung!$G$27&amp;" / "&amp;Anmeldung!$J$27)&lt;&gt;Anmeldung!$O$20),Anmeldung!$B$27&amp;": "&amp;Anmeldung!$D$27&amp;", "&amp;Anmeldung!$E$27&amp;" / "&amp;Anmeldung!$G$27&amp;" / "&amp;Anmeldung!$J$27,"")</f>
        <v/>
      </c>
      <c r="T14" t="str">
        <f>IF(AND(20&lt;&gt;13,Anmeldung!$D$27&lt;&gt;"",Anmeldung!$G$27&lt;&gt;Anmeldung!$G$20,(Anmeldung!$B$27&amp;": "&amp;Anmeldung!$D$27&amp;", "&amp;Anmeldung!$E$27&amp;" / "&amp;Anmeldung!$G$27&amp;" / "&amp;Anmeldung!$J$27)&lt;&gt;Anmeldung!$S$20),Anmeldung!$B$27&amp;": "&amp;Anmeldung!$D$27&amp;", "&amp;Anmeldung!$E$27&amp;" / "&amp;Anmeldung!$G$27&amp;" / "&amp;Anmeldung!$J$27,"")</f>
        <v/>
      </c>
      <c r="U14" t="str">
        <f>IF(AND(20&lt;&gt;13,Anmeldung!$D$27&lt;&gt;"",(Anmeldung!$B$27&amp;": "&amp;Anmeldung!$D$27&amp;", "&amp;Anmeldung!$E$27&amp;" / "&amp;Anmeldung!$G$27&amp;" / "&amp;Anmeldung!$J$27)&lt;&gt;Anmeldung!$R$20),Anmeldung!$B$27&amp;": "&amp;Anmeldung!$D$27&amp;", "&amp;Anmeldung!$E$27&amp;" / "&amp;Anmeldung!$G$27&amp;" / "&amp;Anmeldung!$J$27,"")</f>
        <v/>
      </c>
      <c r="V14" t="str">
        <f>IF(AND(19&lt;&gt;12,Anmeldung!$D$27&lt;&gt;"",Anmeldung!$U$27="Ja",Anmeldung!$G$27=Anmeldung!$G$20,Anmeldung!$J$27=Anmeldung!$J$20),Anmeldung!$B$27&amp;": "&amp;Anmeldung!$D$27&amp;", "&amp;Anmeldung!$E$27&amp;" / "&amp;Anmeldung!$G$27&amp;" / "&amp;Anmeldung!$J$27,"")</f>
        <v/>
      </c>
      <c r="Y14" t="str">
        <f>IF(AND(20&lt;&gt;14,Anmeldung!$D$27&lt;&gt;"",Anmeldung!$G$27=Anmeldung!$G$21,Anmeldung!$J$27=Anmeldung!$J$21),Anmeldung!$B$27&amp;": "&amp;Anmeldung!$D$27&amp;", "&amp;Anmeldung!$E$27&amp;" / "&amp;Anmeldung!$G$27&amp;" / "&amp;Anmeldung!$J$27,"")</f>
        <v/>
      </c>
      <c r="Z14" t="str">
        <f>IF(AND(20&lt;&gt;14,Anmeldung!$D$27&lt;&gt;"",Anmeldung!$G$27=Anmeldung!$G$21,Anmeldung!$J$27=Anmeldung!$J$21,(Anmeldung!$B$27&amp;": "&amp;Anmeldung!$D$27&amp;", "&amp;Anmeldung!$E$27&amp;" / "&amp;Anmeldung!$G$27&amp;" / "&amp;Anmeldung!$J$27)&lt;&gt;Anmeldung!$P$21),Anmeldung!$B$27&amp;": "&amp;Anmeldung!$D$27&amp;", "&amp;Anmeldung!$E$27&amp;" / "&amp;Anmeldung!$G$27&amp;" / "&amp;Anmeldung!$J$27,"")</f>
        <v/>
      </c>
      <c r="AA14" t="str">
        <f>IF(AND(20&lt;&gt;14,Anmeldung!$D$27&lt;&gt;"",Anmeldung!$G$27=Anmeldung!$G$21,Anmeldung!$J$27=Anmeldung!$J$21,(Anmeldung!$B$27&amp;": "&amp;Anmeldung!$D$27&amp;", "&amp;Anmeldung!$E$27&amp;" / "&amp;Anmeldung!$G$27&amp;" / "&amp;Anmeldung!$J$27)&lt;&gt;Anmeldung!$O$21),Anmeldung!$B$27&amp;": "&amp;Anmeldung!$D$27&amp;", "&amp;Anmeldung!$E$27&amp;" / "&amp;Anmeldung!$G$27&amp;" / "&amp;Anmeldung!$J$27,"")</f>
        <v/>
      </c>
      <c r="AB14" t="str">
        <f>IF(AND(20&lt;&gt;14,Anmeldung!$D$27&lt;&gt;"",Anmeldung!$G$27&lt;&gt;Anmeldung!$G$21,(Anmeldung!$B$27&amp;": "&amp;Anmeldung!$D$27&amp;", "&amp;Anmeldung!$E$27&amp;" / "&amp;Anmeldung!$G$27&amp;" / "&amp;Anmeldung!$J$27)&lt;&gt;Anmeldung!$S$21),Anmeldung!$B$27&amp;": "&amp;Anmeldung!$D$27&amp;", "&amp;Anmeldung!$E$27&amp;" / "&amp;Anmeldung!$G$27&amp;" / "&amp;Anmeldung!$J$27,"")</f>
        <v/>
      </c>
      <c r="AC14" t="str">
        <f>IF(AND(20&lt;&gt;14,Anmeldung!$D$27&lt;&gt;"",(Anmeldung!$B$27&amp;": "&amp;Anmeldung!$D$27&amp;", "&amp;Anmeldung!$E$27&amp;" / "&amp;Anmeldung!$G$27&amp;" / "&amp;Anmeldung!$J$27)&lt;&gt;Anmeldung!$R$21),Anmeldung!$B$27&amp;": "&amp;Anmeldung!$D$27&amp;", "&amp;Anmeldung!$E$27&amp;" / "&amp;Anmeldung!$G$27&amp;" / "&amp;Anmeldung!$J$27,"")</f>
        <v/>
      </c>
      <c r="AD14" t="str">
        <f>IF(AND(19&lt;&gt;13,Anmeldung!$D$27&lt;&gt;"",Anmeldung!$U$27="Ja",Anmeldung!$G$27=Anmeldung!$G$21,Anmeldung!$J$27=Anmeldung!$J$21),Anmeldung!$B$27&amp;": "&amp;Anmeldung!$D$27&amp;", "&amp;Anmeldung!$E$27&amp;" / "&amp;Anmeldung!$G$27&amp;" / "&amp;Anmeldung!$J$27,"")</f>
        <v/>
      </c>
      <c r="AG14" t="str">
        <f>IF(AND(20&lt;&gt;15,Anmeldung!$D$27&lt;&gt;"",Anmeldung!$G$27=Anmeldung!$G$22,Anmeldung!$J$27=Anmeldung!$J$22),Anmeldung!$B$27&amp;": "&amp;Anmeldung!$D$27&amp;", "&amp;Anmeldung!$E$27&amp;" / "&amp;Anmeldung!$G$27&amp;" / "&amp;Anmeldung!$J$27,"")</f>
        <v/>
      </c>
      <c r="AH14" t="str">
        <f>IF(AND(20&lt;&gt;15,Anmeldung!$D$27&lt;&gt;"",Anmeldung!$G$27=Anmeldung!$G$22,Anmeldung!$J$27=Anmeldung!$J$22,(Anmeldung!$B$27&amp;": "&amp;Anmeldung!$D$27&amp;", "&amp;Anmeldung!$E$27&amp;" / "&amp;Anmeldung!$G$27&amp;" / "&amp;Anmeldung!$J$27)&lt;&gt;Anmeldung!$P$22),Anmeldung!$B$27&amp;": "&amp;Anmeldung!$D$27&amp;", "&amp;Anmeldung!$E$27&amp;" / "&amp;Anmeldung!$G$27&amp;" / "&amp;Anmeldung!$J$27,"")</f>
        <v/>
      </c>
      <c r="AI14" t="str">
        <f>IF(AND(20&lt;&gt;15,Anmeldung!$D$27&lt;&gt;"",Anmeldung!$G$27=Anmeldung!$G$22,Anmeldung!$J$27=Anmeldung!$J$22,(Anmeldung!$B$27&amp;": "&amp;Anmeldung!$D$27&amp;", "&amp;Anmeldung!$E$27&amp;" / "&amp;Anmeldung!$G$27&amp;" / "&amp;Anmeldung!$J$27)&lt;&gt;Anmeldung!$O$22),Anmeldung!$B$27&amp;": "&amp;Anmeldung!$D$27&amp;", "&amp;Anmeldung!$E$27&amp;" / "&amp;Anmeldung!$G$27&amp;" / "&amp;Anmeldung!$J$27,"")</f>
        <v/>
      </c>
      <c r="AJ14" t="str">
        <f>IF(AND(20&lt;&gt;15,Anmeldung!$D$27&lt;&gt;"",Anmeldung!$G$27&lt;&gt;Anmeldung!$G$22,(Anmeldung!$B$27&amp;": "&amp;Anmeldung!$D$27&amp;", "&amp;Anmeldung!$E$27&amp;" / "&amp;Anmeldung!$G$27&amp;" / "&amp;Anmeldung!$J$27)&lt;&gt;Anmeldung!$S$22),Anmeldung!$B$27&amp;": "&amp;Anmeldung!$D$27&amp;", "&amp;Anmeldung!$E$27&amp;" / "&amp;Anmeldung!$G$27&amp;" / "&amp;Anmeldung!$J$27,"")</f>
        <v/>
      </c>
      <c r="AK14" t="str">
        <f>IF(AND(20&lt;&gt;15,Anmeldung!$D$27&lt;&gt;"",(Anmeldung!$B$27&amp;": "&amp;Anmeldung!$D$27&amp;", "&amp;Anmeldung!$E$27&amp;" / "&amp;Anmeldung!$G$27&amp;" / "&amp;Anmeldung!$J$27)&lt;&gt;Anmeldung!$R$22),Anmeldung!$B$27&amp;": "&amp;Anmeldung!$D$27&amp;", "&amp;Anmeldung!$E$27&amp;" / "&amp;Anmeldung!$G$27&amp;" / "&amp;Anmeldung!$J$27,"")</f>
        <v/>
      </c>
      <c r="AL14" t="str">
        <f>IF(AND(19&lt;&gt;14,Anmeldung!$D$27&lt;&gt;"",Anmeldung!$U$27="Ja",Anmeldung!$G$27=Anmeldung!$G$22,Anmeldung!$J$27=Anmeldung!$J$22),Anmeldung!$B$27&amp;": "&amp;Anmeldung!$D$27&amp;", "&amp;Anmeldung!$E$27&amp;" / "&amp;Anmeldung!$G$27&amp;" / "&amp;Anmeldung!$J$27,"")</f>
        <v/>
      </c>
      <c r="AO14" t="str">
        <f>IF(AND(20&lt;&gt;16,Anmeldung!$D$27&lt;&gt;"",Anmeldung!$G$27=Anmeldung!$G$23,Anmeldung!$J$27=Anmeldung!$J$23),Anmeldung!$B$27&amp;": "&amp;Anmeldung!$D$27&amp;", "&amp;Anmeldung!$E$27&amp;" / "&amp;Anmeldung!$G$27&amp;" / "&amp;Anmeldung!$J$27,"")</f>
        <v/>
      </c>
      <c r="AP14" t="str">
        <f>IF(AND(20&lt;&gt;16,Anmeldung!$D$27&lt;&gt;"",Anmeldung!$G$27=Anmeldung!$G$23,Anmeldung!$J$27=Anmeldung!$J$23,(Anmeldung!$B$27&amp;": "&amp;Anmeldung!$D$27&amp;", "&amp;Anmeldung!$E$27&amp;" / "&amp;Anmeldung!$G$27&amp;" / "&amp;Anmeldung!$J$27)&lt;&gt;Anmeldung!$P$23),Anmeldung!$B$27&amp;": "&amp;Anmeldung!$D$27&amp;", "&amp;Anmeldung!$E$27&amp;" / "&amp;Anmeldung!$G$27&amp;" / "&amp;Anmeldung!$J$27,"")</f>
        <v/>
      </c>
      <c r="AQ14" t="str">
        <f>IF(AND(20&lt;&gt;16,Anmeldung!$D$27&lt;&gt;"",Anmeldung!$G$27=Anmeldung!$G$23,Anmeldung!$J$27=Anmeldung!$J$23,(Anmeldung!$B$27&amp;": "&amp;Anmeldung!$D$27&amp;", "&amp;Anmeldung!$E$27&amp;" / "&amp;Anmeldung!$G$27&amp;" / "&amp;Anmeldung!$J$27)&lt;&gt;Anmeldung!$O$23),Anmeldung!$B$27&amp;": "&amp;Anmeldung!$D$27&amp;", "&amp;Anmeldung!$E$27&amp;" / "&amp;Anmeldung!$G$27&amp;" / "&amp;Anmeldung!$J$27,"")</f>
        <v/>
      </c>
      <c r="AR14" t="str">
        <f>IF(AND(20&lt;&gt;16,Anmeldung!$D$27&lt;&gt;"",Anmeldung!$G$27&lt;&gt;Anmeldung!$G$23,(Anmeldung!$B$27&amp;": "&amp;Anmeldung!$D$27&amp;", "&amp;Anmeldung!$E$27&amp;" / "&amp;Anmeldung!$G$27&amp;" / "&amp;Anmeldung!$J$27)&lt;&gt;Anmeldung!$S$23),Anmeldung!$B$27&amp;": "&amp;Anmeldung!$D$27&amp;", "&amp;Anmeldung!$E$27&amp;" / "&amp;Anmeldung!$G$27&amp;" / "&amp;Anmeldung!$J$27,"")</f>
        <v/>
      </c>
      <c r="AS14" t="str">
        <f>IF(AND(20&lt;&gt;16,Anmeldung!$D$27&lt;&gt;"",(Anmeldung!$B$27&amp;": "&amp;Anmeldung!$D$27&amp;", "&amp;Anmeldung!$E$27&amp;" / "&amp;Anmeldung!$G$27&amp;" / "&amp;Anmeldung!$J$27)&lt;&gt;Anmeldung!$R$23),Anmeldung!$B$27&amp;": "&amp;Anmeldung!$D$27&amp;", "&amp;Anmeldung!$E$27&amp;" / "&amp;Anmeldung!$G$27&amp;" / "&amp;Anmeldung!$J$27,"")</f>
        <v/>
      </c>
      <c r="AT14" t="str">
        <f>IF(AND(19&lt;&gt;15,Anmeldung!$D$27&lt;&gt;"",Anmeldung!$U$27="Ja",Anmeldung!$G$27=Anmeldung!$G$23,Anmeldung!$J$27=Anmeldung!$J$23),Anmeldung!$B$27&amp;": "&amp;Anmeldung!$D$27&amp;", "&amp;Anmeldung!$E$27&amp;" / "&amp;Anmeldung!$G$27&amp;" / "&amp;Anmeldung!$J$27,"")</f>
        <v/>
      </c>
      <c r="AW14" t="str">
        <f>IF(AND(20&lt;&gt;17,Anmeldung!$D$27&lt;&gt;"",Anmeldung!$G$27=Anmeldung!$G$24,Anmeldung!$J$27=Anmeldung!$J$24),Anmeldung!$B$27&amp;": "&amp;Anmeldung!$D$27&amp;", "&amp;Anmeldung!$E$27&amp;" / "&amp;Anmeldung!$G$27&amp;" / "&amp;Anmeldung!$J$27,"")</f>
        <v/>
      </c>
      <c r="AX14" t="str">
        <f>IF(AND(20&lt;&gt;17,Anmeldung!$D$27&lt;&gt;"",Anmeldung!$G$27=Anmeldung!$G$24,Anmeldung!$J$27=Anmeldung!$J$24,(Anmeldung!$B$27&amp;": "&amp;Anmeldung!$D$27&amp;", "&amp;Anmeldung!$E$27&amp;" / "&amp;Anmeldung!$G$27&amp;" / "&amp;Anmeldung!$J$27)&lt;&gt;Anmeldung!$P$24),Anmeldung!$B$27&amp;": "&amp;Anmeldung!$D$27&amp;", "&amp;Anmeldung!$E$27&amp;" / "&amp;Anmeldung!$G$27&amp;" / "&amp;Anmeldung!$J$27,"")</f>
        <v/>
      </c>
      <c r="AY14" t="str">
        <f>IF(AND(20&lt;&gt;17,Anmeldung!$D$27&lt;&gt;"",Anmeldung!$G$27=Anmeldung!$G$24,Anmeldung!$J$27=Anmeldung!$J$24,(Anmeldung!$B$27&amp;": "&amp;Anmeldung!$D$27&amp;", "&amp;Anmeldung!$E$27&amp;" / "&amp;Anmeldung!$G$27&amp;" / "&amp;Anmeldung!$J$27)&lt;&gt;Anmeldung!$O$24),Anmeldung!$B$27&amp;": "&amp;Anmeldung!$D$27&amp;", "&amp;Anmeldung!$E$27&amp;" / "&amp;Anmeldung!$G$27&amp;" / "&amp;Anmeldung!$J$27,"")</f>
        <v/>
      </c>
      <c r="AZ14" t="str">
        <f>IF(AND(20&lt;&gt;17,Anmeldung!$D$27&lt;&gt;"",Anmeldung!$G$27&lt;&gt;Anmeldung!$G$24,(Anmeldung!$B$27&amp;": "&amp;Anmeldung!$D$27&amp;", "&amp;Anmeldung!$E$27&amp;" / "&amp;Anmeldung!$G$27&amp;" / "&amp;Anmeldung!$J$27)&lt;&gt;Anmeldung!$S$24),Anmeldung!$B$27&amp;": "&amp;Anmeldung!$D$27&amp;", "&amp;Anmeldung!$E$27&amp;" / "&amp;Anmeldung!$G$27&amp;" / "&amp;Anmeldung!$J$27,"")</f>
        <v/>
      </c>
      <c r="BA14" t="str">
        <f>IF(AND(20&lt;&gt;17,Anmeldung!$D$27&lt;&gt;"",(Anmeldung!$B$27&amp;": "&amp;Anmeldung!$D$27&amp;", "&amp;Anmeldung!$E$27&amp;" / "&amp;Anmeldung!$G$27&amp;" / "&amp;Anmeldung!$J$27)&lt;&gt;Anmeldung!$R$24),Anmeldung!$B$27&amp;": "&amp;Anmeldung!$D$27&amp;", "&amp;Anmeldung!$E$27&amp;" / "&amp;Anmeldung!$G$27&amp;" / "&amp;Anmeldung!$J$27,"")</f>
        <v/>
      </c>
      <c r="BB14" t="str">
        <f>IF(AND(19&lt;&gt;16,Anmeldung!$D$27&lt;&gt;"",Anmeldung!$U$27="Ja",Anmeldung!$G$27=Anmeldung!$G$24,Anmeldung!$J$27=Anmeldung!$J$24),Anmeldung!$B$27&amp;": "&amp;Anmeldung!$D$27&amp;", "&amp;Anmeldung!$E$27&amp;" / "&amp;Anmeldung!$G$27&amp;" / "&amp;Anmeldung!$J$27,"")</f>
        <v/>
      </c>
      <c r="BE14" t="str">
        <f>IF(AND(20&lt;&gt;18,Anmeldung!$D$27&lt;&gt;"",Anmeldung!$G$27=Anmeldung!$G$25,Anmeldung!$J$27=Anmeldung!$J$25),Anmeldung!$B$27&amp;": "&amp;Anmeldung!$D$27&amp;", "&amp;Anmeldung!$E$27&amp;" / "&amp;Anmeldung!$G$27&amp;" / "&amp;Anmeldung!$J$27,"")</f>
        <v/>
      </c>
      <c r="BF14" t="str">
        <f>IF(AND(20&lt;&gt;18,Anmeldung!$D$27&lt;&gt;"",Anmeldung!$G$27=Anmeldung!$G$25,Anmeldung!$J$27=Anmeldung!$J$25,(Anmeldung!$B$27&amp;": "&amp;Anmeldung!$D$27&amp;", "&amp;Anmeldung!$E$27&amp;" / "&amp;Anmeldung!$G$27&amp;" / "&amp;Anmeldung!$J$27)&lt;&gt;Anmeldung!$P$25),Anmeldung!$B$27&amp;": "&amp;Anmeldung!$D$27&amp;", "&amp;Anmeldung!$E$27&amp;" / "&amp;Anmeldung!$G$27&amp;" / "&amp;Anmeldung!$J$27,"")</f>
        <v/>
      </c>
      <c r="BG14" t="str">
        <f>IF(AND(20&lt;&gt;18,Anmeldung!$D$27&lt;&gt;"",Anmeldung!$G$27=Anmeldung!$G$25,Anmeldung!$J$27=Anmeldung!$J$25,(Anmeldung!$B$27&amp;": "&amp;Anmeldung!$D$27&amp;", "&amp;Anmeldung!$E$27&amp;" / "&amp;Anmeldung!$G$27&amp;" / "&amp;Anmeldung!$J$27)&lt;&gt;Anmeldung!$O$25),Anmeldung!$B$27&amp;": "&amp;Anmeldung!$D$27&amp;", "&amp;Anmeldung!$E$27&amp;" / "&amp;Anmeldung!$G$27&amp;" / "&amp;Anmeldung!$J$27,"")</f>
        <v/>
      </c>
      <c r="BH14" t="str">
        <f>IF(AND(20&lt;&gt;18,Anmeldung!$D$27&lt;&gt;"",Anmeldung!$G$27&lt;&gt;Anmeldung!$G$25,(Anmeldung!$B$27&amp;": "&amp;Anmeldung!$D$27&amp;", "&amp;Anmeldung!$E$27&amp;" / "&amp;Anmeldung!$G$27&amp;" / "&amp;Anmeldung!$J$27)&lt;&gt;Anmeldung!$S$25),Anmeldung!$B$27&amp;": "&amp;Anmeldung!$D$27&amp;", "&amp;Anmeldung!$E$27&amp;" / "&amp;Anmeldung!$G$27&amp;" / "&amp;Anmeldung!$J$27,"")</f>
        <v/>
      </c>
      <c r="BI14" t="str">
        <f>IF(AND(20&lt;&gt;18,Anmeldung!$D$27&lt;&gt;"",(Anmeldung!$B$27&amp;": "&amp;Anmeldung!$D$27&amp;", "&amp;Anmeldung!$E$27&amp;" / "&amp;Anmeldung!$G$27&amp;" / "&amp;Anmeldung!$J$27)&lt;&gt;Anmeldung!$R$25),Anmeldung!$B$27&amp;": "&amp;Anmeldung!$D$27&amp;", "&amp;Anmeldung!$E$27&amp;" / "&amp;Anmeldung!$G$27&amp;" / "&amp;Anmeldung!$J$27,"")</f>
        <v/>
      </c>
      <c r="BJ14" t="str">
        <f>IF(AND(19&lt;&gt;17,Anmeldung!$D$27&lt;&gt;"",Anmeldung!$U$27="Ja",Anmeldung!$G$27=Anmeldung!$G$25,Anmeldung!$J$27=Anmeldung!$J$25),Anmeldung!$B$27&amp;": "&amp;Anmeldung!$D$27&amp;", "&amp;Anmeldung!$E$27&amp;" / "&amp;Anmeldung!$G$27&amp;" / "&amp;Anmeldung!$J$27,"")</f>
        <v/>
      </c>
      <c r="BM14" t="str">
        <f>IF(AND(20&lt;&gt;19,Anmeldung!$D$27&lt;&gt;"",Anmeldung!$G$27=Anmeldung!$G$26,Anmeldung!$J$27=Anmeldung!$J$26),Anmeldung!$B$27&amp;": "&amp;Anmeldung!$D$27&amp;", "&amp;Anmeldung!$E$27&amp;" / "&amp;Anmeldung!$G$27&amp;" / "&amp;Anmeldung!$J$27,"")</f>
        <v/>
      </c>
      <c r="BN14" t="str">
        <f>IF(AND(20&lt;&gt;19,Anmeldung!$D$27&lt;&gt;"",Anmeldung!$G$27=Anmeldung!$G$26,Anmeldung!$J$27=Anmeldung!$J$26,(Anmeldung!$B$27&amp;": "&amp;Anmeldung!$D$27&amp;", "&amp;Anmeldung!$E$27&amp;" / "&amp;Anmeldung!$G$27&amp;" / "&amp;Anmeldung!$J$27)&lt;&gt;Anmeldung!$P$26),Anmeldung!$B$27&amp;": "&amp;Anmeldung!$D$27&amp;", "&amp;Anmeldung!$E$27&amp;" / "&amp;Anmeldung!$G$27&amp;" / "&amp;Anmeldung!$J$27,"")</f>
        <v/>
      </c>
      <c r="BO14" t="str">
        <f>IF(AND(20&lt;&gt;19,Anmeldung!$D$27&lt;&gt;"",Anmeldung!$G$27=Anmeldung!$G$26,Anmeldung!$J$27=Anmeldung!$J$26,(Anmeldung!$B$27&amp;": "&amp;Anmeldung!$D$27&amp;", "&amp;Anmeldung!$E$27&amp;" / "&amp;Anmeldung!$G$27&amp;" / "&amp;Anmeldung!$J$27)&lt;&gt;Anmeldung!$O$26),Anmeldung!$B$27&amp;": "&amp;Anmeldung!$D$27&amp;", "&amp;Anmeldung!$E$27&amp;" / "&amp;Anmeldung!$G$27&amp;" / "&amp;Anmeldung!$J$27,"")</f>
        <v/>
      </c>
      <c r="BP14" t="str">
        <f>IF(AND(20&lt;&gt;19,Anmeldung!$D$27&lt;&gt;"",Anmeldung!$G$27&lt;&gt;Anmeldung!$G$26,(Anmeldung!$B$27&amp;": "&amp;Anmeldung!$D$27&amp;", "&amp;Anmeldung!$E$27&amp;" / "&amp;Anmeldung!$G$27&amp;" / "&amp;Anmeldung!$J$27)&lt;&gt;Anmeldung!$S$26),Anmeldung!$B$27&amp;": "&amp;Anmeldung!$D$27&amp;", "&amp;Anmeldung!$E$27&amp;" / "&amp;Anmeldung!$G$27&amp;" / "&amp;Anmeldung!$J$27,"")</f>
        <v/>
      </c>
      <c r="BQ14" t="str">
        <f>IF(AND(20&lt;&gt;19,Anmeldung!$D$27&lt;&gt;"",(Anmeldung!$B$27&amp;": "&amp;Anmeldung!$D$27&amp;", "&amp;Anmeldung!$E$27&amp;" / "&amp;Anmeldung!$G$27&amp;" / "&amp;Anmeldung!$J$27)&lt;&gt;Anmeldung!$R$26),Anmeldung!$B$27&amp;": "&amp;Anmeldung!$D$27&amp;", "&amp;Anmeldung!$E$27&amp;" / "&amp;Anmeldung!$G$27&amp;" / "&amp;Anmeldung!$J$27,"")</f>
        <v/>
      </c>
      <c r="BR14" t="str">
        <f>IF(AND(19&lt;&gt;18,Anmeldung!$D$27&lt;&gt;"",Anmeldung!$U$27="Ja",Anmeldung!$G$27=Anmeldung!$G$26,Anmeldung!$J$27=Anmeldung!$J$26),Anmeldung!$B$27&amp;": "&amp;Anmeldung!$D$27&amp;", "&amp;Anmeldung!$E$27&amp;" / "&amp;Anmeldung!$G$27&amp;" / "&amp;Anmeldung!$J$27,"")</f>
        <v/>
      </c>
      <c r="BU14" t="str">
        <f>IF(AND(20&lt;&gt;20,Anmeldung!$D$27&lt;&gt;"",Anmeldung!$G$27=Anmeldung!$G$27,Anmeldung!$J$27=Anmeldung!$J$27),Anmeldung!$B$27&amp;": "&amp;Anmeldung!$D$27&amp;", "&amp;Anmeldung!$E$27&amp;" / "&amp;Anmeldung!$G$27&amp;" / "&amp;Anmeldung!$J$27,"")</f>
        <v/>
      </c>
      <c r="BV14" t="str">
        <f>IF(AND(20&lt;&gt;20,Anmeldung!$D$27&lt;&gt;"",Anmeldung!$G$27=Anmeldung!$G$27,Anmeldung!$J$27=Anmeldung!$J$27,(Anmeldung!$B$27&amp;": "&amp;Anmeldung!$D$27&amp;", "&amp;Anmeldung!$E$27&amp;" / "&amp;Anmeldung!$G$27&amp;" / "&amp;Anmeldung!$J$27)&lt;&gt;Anmeldung!$P$27),Anmeldung!$B$27&amp;": "&amp;Anmeldung!$D$27&amp;", "&amp;Anmeldung!$E$27&amp;" / "&amp;Anmeldung!$G$27&amp;" / "&amp;Anmeldung!$J$27,"")</f>
        <v/>
      </c>
      <c r="BW14" t="str">
        <f>IF(AND(20&lt;&gt;20,Anmeldung!$D$27&lt;&gt;"",Anmeldung!$G$27=Anmeldung!$G$27,Anmeldung!$J$27=Anmeldung!$J$27,(Anmeldung!$B$27&amp;": "&amp;Anmeldung!$D$27&amp;", "&amp;Anmeldung!$E$27&amp;" / "&amp;Anmeldung!$G$27&amp;" / "&amp;Anmeldung!$J$27)&lt;&gt;Anmeldung!$O$27),Anmeldung!$B$27&amp;": "&amp;Anmeldung!$D$27&amp;", "&amp;Anmeldung!$E$27&amp;" / "&amp;Anmeldung!$G$27&amp;" / "&amp;Anmeldung!$J$27,"")</f>
        <v/>
      </c>
      <c r="BX14" t="str">
        <f>IF(AND(20&lt;&gt;20,Anmeldung!$D$27&lt;&gt;"",Anmeldung!$G$27&lt;&gt;Anmeldung!$G$27,(Anmeldung!$B$27&amp;": "&amp;Anmeldung!$D$27&amp;", "&amp;Anmeldung!$E$27&amp;" / "&amp;Anmeldung!$G$27&amp;" / "&amp;Anmeldung!$J$27)&lt;&gt;Anmeldung!$S$27),Anmeldung!$B$27&amp;": "&amp;Anmeldung!$D$27&amp;", "&amp;Anmeldung!$E$27&amp;" / "&amp;Anmeldung!$G$27&amp;" / "&amp;Anmeldung!$J$27,"")</f>
        <v/>
      </c>
      <c r="BY14" t="str">
        <f>IF(AND(20&lt;&gt;20,Anmeldung!$D$27&lt;&gt;"",(Anmeldung!$B$27&amp;": "&amp;Anmeldung!$D$27&amp;", "&amp;Anmeldung!$E$27&amp;" / "&amp;Anmeldung!$G$27&amp;" / "&amp;Anmeldung!$J$27)&lt;&gt;Anmeldung!$R$27),Anmeldung!$B$27&amp;": "&amp;Anmeldung!$D$27&amp;", "&amp;Anmeldung!$E$27&amp;" / "&amp;Anmeldung!$G$27&amp;" / "&amp;Anmeldung!$J$27,"")</f>
        <v/>
      </c>
      <c r="BZ14" t="str">
        <f>IF(AND(19&lt;&gt;19,Anmeldung!$D$27&lt;&gt;"",Anmeldung!$U$27="Ja",Anmeldung!$G$27=Anmeldung!$G$27,Anmeldung!$J$27=Anmeldung!$J$27),Anmeldung!$B$27&amp;": "&amp;Anmeldung!$D$27&amp;", "&amp;Anmeldung!$E$27&amp;" / "&amp;Anmeldung!$G$27&amp;" / "&amp;Anmeldung!$J$27,"")</f>
        <v/>
      </c>
      <c r="CC14" t="str">
        <f>IF(AND(20&lt;&gt;21,Anmeldung!$D$27&lt;&gt;"",Anmeldung!$G$27=Anmeldung!$G$28,Anmeldung!$J$27=Anmeldung!$J$28),Anmeldung!$B$27&amp;": "&amp;Anmeldung!$D$27&amp;", "&amp;Anmeldung!$E$27&amp;" / "&amp;Anmeldung!$G$27&amp;" / "&amp;Anmeldung!$J$27,"")</f>
        <v/>
      </c>
      <c r="CD14" t="str">
        <f>IF(AND(20&lt;&gt;21,Anmeldung!$D$27&lt;&gt;"",Anmeldung!$G$27=Anmeldung!$G$28,Anmeldung!$J$27=Anmeldung!$J$28,(Anmeldung!$B$27&amp;": "&amp;Anmeldung!$D$27&amp;", "&amp;Anmeldung!$E$27&amp;" / "&amp;Anmeldung!$G$27&amp;" / "&amp;Anmeldung!$J$27)&lt;&gt;Anmeldung!$P$28),Anmeldung!$B$27&amp;": "&amp;Anmeldung!$D$27&amp;", "&amp;Anmeldung!$E$27&amp;" / "&amp;Anmeldung!$G$27&amp;" / "&amp;Anmeldung!$J$27,"")</f>
        <v/>
      </c>
      <c r="CE14" t="str">
        <f>IF(AND(20&lt;&gt;21,Anmeldung!$D$27&lt;&gt;"",Anmeldung!$G$27=Anmeldung!$G$28,Anmeldung!$J$27=Anmeldung!$J$28,(Anmeldung!$B$27&amp;": "&amp;Anmeldung!$D$27&amp;", "&amp;Anmeldung!$E$27&amp;" / "&amp;Anmeldung!$G$27&amp;" / "&amp;Anmeldung!$J$27)&lt;&gt;Anmeldung!$O$28),Anmeldung!$B$27&amp;": "&amp;Anmeldung!$D$27&amp;", "&amp;Anmeldung!$E$27&amp;" / "&amp;Anmeldung!$G$27&amp;" / "&amp;Anmeldung!$J$27,"")</f>
        <v/>
      </c>
      <c r="CF14" t="str">
        <f>IF(AND(20&lt;&gt;21,Anmeldung!$D$27&lt;&gt;"",Anmeldung!$G$27&lt;&gt;Anmeldung!$G$28,(Anmeldung!$B$27&amp;": "&amp;Anmeldung!$D$27&amp;", "&amp;Anmeldung!$E$27&amp;" / "&amp;Anmeldung!$G$27&amp;" / "&amp;Anmeldung!$J$27)&lt;&gt;Anmeldung!$S$28),Anmeldung!$B$27&amp;": "&amp;Anmeldung!$D$27&amp;", "&amp;Anmeldung!$E$27&amp;" / "&amp;Anmeldung!$G$27&amp;" / "&amp;Anmeldung!$J$27,"")</f>
        <v/>
      </c>
      <c r="CG14" t="str">
        <f>IF(AND(20&lt;&gt;21,Anmeldung!$D$27&lt;&gt;"",(Anmeldung!$B$27&amp;": "&amp;Anmeldung!$D$27&amp;", "&amp;Anmeldung!$E$27&amp;" / "&amp;Anmeldung!$G$27&amp;" / "&amp;Anmeldung!$J$27)&lt;&gt;Anmeldung!$R$28),Anmeldung!$B$27&amp;": "&amp;Anmeldung!$D$27&amp;", "&amp;Anmeldung!$E$27&amp;" / "&amp;Anmeldung!$G$27&amp;" / "&amp;Anmeldung!$J$27,"")</f>
        <v/>
      </c>
      <c r="CH14" t="str">
        <f>IF(AND(19&lt;&gt;20,Anmeldung!$D$27&lt;&gt;"",Anmeldung!$U$27="Ja",Anmeldung!$G$27=Anmeldung!$G$28,Anmeldung!$J$27=Anmeldung!$J$28),Anmeldung!$B$27&amp;": "&amp;Anmeldung!$D$27&amp;", "&amp;Anmeldung!$E$27&amp;" / "&amp;Anmeldung!$G$27&amp;" / "&amp;Anmeldung!$J$27,"")</f>
        <v/>
      </c>
      <c r="CK14" t="str">
        <f>IF(AND(20&lt;&gt;22,Anmeldung!$D$27&lt;&gt;"",Anmeldung!$G$27=Anmeldung!$G$29,Anmeldung!$J$27=Anmeldung!$J$29),Anmeldung!$B$27&amp;": "&amp;Anmeldung!$D$27&amp;", "&amp;Anmeldung!$E$27&amp;" / "&amp;Anmeldung!$G$27&amp;" / "&amp;Anmeldung!$J$27,"")</f>
        <v/>
      </c>
      <c r="CL14" t="str">
        <f>IF(AND(20&lt;&gt;22,Anmeldung!$D$27&lt;&gt;"",Anmeldung!$G$27=Anmeldung!$G$29,Anmeldung!$J$27=Anmeldung!$J$29,(Anmeldung!$B$27&amp;": "&amp;Anmeldung!$D$27&amp;", "&amp;Anmeldung!$E$27&amp;" / "&amp;Anmeldung!$G$27&amp;" / "&amp;Anmeldung!$J$27)&lt;&gt;Anmeldung!$P$29),Anmeldung!$B$27&amp;": "&amp;Anmeldung!$D$27&amp;", "&amp;Anmeldung!$E$27&amp;" / "&amp;Anmeldung!$G$27&amp;" / "&amp;Anmeldung!$J$27,"")</f>
        <v/>
      </c>
      <c r="CM14" t="str">
        <f>IF(AND(20&lt;&gt;22,Anmeldung!$D$27&lt;&gt;"",Anmeldung!$G$27=Anmeldung!$G$29,Anmeldung!$J$27=Anmeldung!$J$29,(Anmeldung!$B$27&amp;": "&amp;Anmeldung!$D$27&amp;", "&amp;Anmeldung!$E$27&amp;" / "&amp;Anmeldung!$G$27&amp;" / "&amp;Anmeldung!$J$27)&lt;&gt;Anmeldung!$O$29),Anmeldung!$B$27&amp;": "&amp;Anmeldung!$D$27&amp;", "&amp;Anmeldung!$E$27&amp;" / "&amp;Anmeldung!$G$27&amp;" / "&amp;Anmeldung!$J$27,"")</f>
        <v/>
      </c>
      <c r="CN14" t="str">
        <f>IF(AND(20&lt;&gt;22,Anmeldung!$D$27&lt;&gt;"",Anmeldung!$G$27&lt;&gt;Anmeldung!$G$29,(Anmeldung!$B$27&amp;": "&amp;Anmeldung!$D$27&amp;", "&amp;Anmeldung!$E$27&amp;" / "&amp;Anmeldung!$G$27&amp;" / "&amp;Anmeldung!$J$27)&lt;&gt;Anmeldung!$S$29),Anmeldung!$B$27&amp;": "&amp;Anmeldung!$D$27&amp;", "&amp;Anmeldung!$E$27&amp;" / "&amp;Anmeldung!$G$27&amp;" / "&amp;Anmeldung!$J$27,"")</f>
        <v/>
      </c>
      <c r="CO14" t="str">
        <f>IF(AND(20&lt;&gt;22,Anmeldung!$D$27&lt;&gt;"",(Anmeldung!$B$27&amp;": "&amp;Anmeldung!$D$27&amp;", "&amp;Anmeldung!$E$27&amp;" / "&amp;Anmeldung!$G$27&amp;" / "&amp;Anmeldung!$J$27)&lt;&gt;Anmeldung!$R$29),Anmeldung!$B$27&amp;": "&amp;Anmeldung!$D$27&amp;", "&amp;Anmeldung!$E$27&amp;" / "&amp;Anmeldung!$G$27&amp;" / "&amp;Anmeldung!$J$27,"")</f>
        <v/>
      </c>
      <c r="CP14" t="str">
        <f>IF(AND(19&lt;&gt;21,Anmeldung!$D$27&lt;&gt;"",Anmeldung!$U$27="Ja",Anmeldung!$G$27=Anmeldung!$G$29,Anmeldung!$J$27=Anmeldung!$J$29),Anmeldung!$B$27&amp;": "&amp;Anmeldung!$D$27&amp;", "&amp;Anmeldung!$E$27&amp;" / "&amp;Anmeldung!$G$27&amp;" / "&amp;Anmeldung!$J$27,"")</f>
        <v/>
      </c>
      <c r="CS14" t="str">
        <f>IF(AND(20&lt;&gt;23,Anmeldung!$D$27&lt;&gt;"",Anmeldung!$G$27=Anmeldung!$G$30,Anmeldung!$J$27=Anmeldung!$J$30),Anmeldung!$B$27&amp;": "&amp;Anmeldung!$D$27&amp;", "&amp;Anmeldung!$E$27&amp;" / "&amp;Anmeldung!$G$27&amp;" / "&amp;Anmeldung!$J$27,"")</f>
        <v/>
      </c>
      <c r="CT14" t="str">
        <f>IF(AND(20&lt;&gt;23,Anmeldung!$D$27&lt;&gt;"",Anmeldung!$G$27=Anmeldung!$G$30,Anmeldung!$J$27=Anmeldung!$J$30,(Anmeldung!$B$27&amp;": "&amp;Anmeldung!$D$27&amp;", "&amp;Anmeldung!$E$27&amp;" / "&amp;Anmeldung!$G$27&amp;" / "&amp;Anmeldung!$J$27)&lt;&gt;Anmeldung!$P$30),Anmeldung!$B$27&amp;": "&amp;Anmeldung!$D$27&amp;", "&amp;Anmeldung!$E$27&amp;" / "&amp;Anmeldung!$G$27&amp;" / "&amp;Anmeldung!$J$27,"")</f>
        <v/>
      </c>
      <c r="CU14" t="str">
        <f>IF(AND(20&lt;&gt;23,Anmeldung!$D$27&lt;&gt;"",Anmeldung!$G$27=Anmeldung!$G$30,Anmeldung!$J$27=Anmeldung!$J$30,(Anmeldung!$B$27&amp;": "&amp;Anmeldung!$D$27&amp;", "&amp;Anmeldung!$E$27&amp;" / "&amp;Anmeldung!$G$27&amp;" / "&amp;Anmeldung!$J$27)&lt;&gt;Anmeldung!$O$30),Anmeldung!$B$27&amp;": "&amp;Anmeldung!$D$27&amp;", "&amp;Anmeldung!$E$27&amp;" / "&amp;Anmeldung!$G$27&amp;" / "&amp;Anmeldung!$J$27,"")</f>
        <v/>
      </c>
      <c r="CV14" t="str">
        <f>IF(AND(20&lt;&gt;23,Anmeldung!$D$27&lt;&gt;"",Anmeldung!$G$27&lt;&gt;Anmeldung!$G$30,(Anmeldung!$B$27&amp;": "&amp;Anmeldung!$D$27&amp;", "&amp;Anmeldung!$E$27&amp;" / "&amp;Anmeldung!$G$27&amp;" / "&amp;Anmeldung!$J$27)&lt;&gt;Anmeldung!$S$30),Anmeldung!$B$27&amp;": "&amp;Anmeldung!$D$27&amp;", "&amp;Anmeldung!$E$27&amp;" / "&amp;Anmeldung!$G$27&amp;" / "&amp;Anmeldung!$J$27,"")</f>
        <v/>
      </c>
      <c r="CW14" t="str">
        <f>IF(AND(20&lt;&gt;23,Anmeldung!$D$27&lt;&gt;"",(Anmeldung!$B$27&amp;": "&amp;Anmeldung!$D$27&amp;", "&amp;Anmeldung!$E$27&amp;" / "&amp;Anmeldung!$G$27&amp;" / "&amp;Anmeldung!$J$27)&lt;&gt;Anmeldung!$R$30),Anmeldung!$B$27&amp;": "&amp;Anmeldung!$D$27&amp;", "&amp;Anmeldung!$E$27&amp;" / "&amp;Anmeldung!$G$27&amp;" / "&amp;Anmeldung!$J$27,"")</f>
        <v/>
      </c>
      <c r="CX14" t="str">
        <f>IF(AND(19&lt;&gt;22,Anmeldung!$D$27&lt;&gt;"",Anmeldung!$U$27="Ja",Anmeldung!$G$27=Anmeldung!$G$30,Anmeldung!$J$27=Anmeldung!$J$30),Anmeldung!$B$27&amp;": "&amp;Anmeldung!$D$27&amp;", "&amp;Anmeldung!$E$27&amp;" / "&amp;Anmeldung!$G$27&amp;" / "&amp;Anmeldung!$J$27,"")</f>
        <v/>
      </c>
      <c r="DA14" t="str">
        <f>IF(AND(20&lt;&gt;24,Anmeldung!$D$27&lt;&gt;"",Anmeldung!$G$27=Anmeldung!$G$31,Anmeldung!$J$27=Anmeldung!$J$31),Anmeldung!$B$27&amp;": "&amp;Anmeldung!$D$27&amp;", "&amp;Anmeldung!$E$27&amp;" / "&amp;Anmeldung!$G$27&amp;" / "&amp;Anmeldung!$J$27,"")</f>
        <v/>
      </c>
      <c r="DB14" t="str">
        <f>IF(AND(20&lt;&gt;24,Anmeldung!$D$27&lt;&gt;"",Anmeldung!$G$27=Anmeldung!$G$31,Anmeldung!$J$27=Anmeldung!$J$31,(Anmeldung!$B$27&amp;": "&amp;Anmeldung!$D$27&amp;", "&amp;Anmeldung!$E$27&amp;" / "&amp;Anmeldung!$G$27&amp;" / "&amp;Anmeldung!$J$27)&lt;&gt;Anmeldung!$P$31),Anmeldung!$B$27&amp;": "&amp;Anmeldung!$D$27&amp;", "&amp;Anmeldung!$E$27&amp;" / "&amp;Anmeldung!$G$27&amp;" / "&amp;Anmeldung!$J$27,"")</f>
        <v/>
      </c>
      <c r="DC14" t="str">
        <f>IF(AND(20&lt;&gt;24,Anmeldung!$D$27&lt;&gt;"",Anmeldung!$G$27=Anmeldung!$G$31,Anmeldung!$J$27=Anmeldung!$J$31,(Anmeldung!$B$27&amp;": "&amp;Anmeldung!$D$27&amp;", "&amp;Anmeldung!$E$27&amp;" / "&amp;Anmeldung!$G$27&amp;" / "&amp;Anmeldung!$J$27)&lt;&gt;Anmeldung!$O$31),Anmeldung!$B$27&amp;": "&amp;Anmeldung!$D$27&amp;", "&amp;Anmeldung!$E$27&amp;" / "&amp;Anmeldung!$G$27&amp;" / "&amp;Anmeldung!$J$27,"")</f>
        <v/>
      </c>
      <c r="DD14" t="str">
        <f>IF(AND(20&lt;&gt;24,Anmeldung!$D$27&lt;&gt;"",Anmeldung!$G$27&lt;&gt;Anmeldung!$G$31,(Anmeldung!$B$27&amp;": "&amp;Anmeldung!$D$27&amp;", "&amp;Anmeldung!$E$27&amp;" / "&amp;Anmeldung!$G$27&amp;" / "&amp;Anmeldung!$J$27)&lt;&gt;Anmeldung!$S$31),Anmeldung!$B$27&amp;": "&amp;Anmeldung!$D$27&amp;", "&amp;Anmeldung!$E$27&amp;" / "&amp;Anmeldung!$G$27&amp;" / "&amp;Anmeldung!$J$27,"")</f>
        <v/>
      </c>
      <c r="DE14" t="str">
        <f>IF(AND(20&lt;&gt;24,Anmeldung!$D$27&lt;&gt;"",(Anmeldung!$B$27&amp;": "&amp;Anmeldung!$D$27&amp;", "&amp;Anmeldung!$E$27&amp;" / "&amp;Anmeldung!$G$27&amp;" / "&amp;Anmeldung!$J$27)&lt;&gt;Anmeldung!$R$31),Anmeldung!$B$27&amp;": "&amp;Anmeldung!$D$27&amp;", "&amp;Anmeldung!$E$27&amp;" / "&amp;Anmeldung!$G$27&amp;" / "&amp;Anmeldung!$J$27,"")</f>
        <v/>
      </c>
      <c r="DF14" t="str">
        <f>IF(AND(19&lt;&gt;23,Anmeldung!$D$27&lt;&gt;"",Anmeldung!$U$27="Ja",Anmeldung!$G$27=Anmeldung!$G$31,Anmeldung!$J$27=Anmeldung!$J$31),Anmeldung!$B$27&amp;": "&amp;Anmeldung!$D$27&amp;", "&amp;Anmeldung!$E$27&amp;" / "&amp;Anmeldung!$G$27&amp;" / "&amp;Anmeldung!$J$27,"")</f>
        <v/>
      </c>
      <c r="DI14" t="str">
        <f>IF(AND(20&lt;&gt;25,Anmeldung!$D$27&lt;&gt;"",Anmeldung!$G$27=Anmeldung!$G$32,Anmeldung!$J$27=Anmeldung!$J$32),Anmeldung!$B$27&amp;": "&amp;Anmeldung!$D$27&amp;", "&amp;Anmeldung!$E$27&amp;" / "&amp;Anmeldung!$G$27&amp;" / "&amp;Anmeldung!$J$27,"")</f>
        <v/>
      </c>
      <c r="DJ14" t="str">
        <f>IF(AND(20&lt;&gt;25,Anmeldung!$D$27&lt;&gt;"",Anmeldung!$G$27=Anmeldung!$G$32,Anmeldung!$J$27=Anmeldung!$J$32,(Anmeldung!$B$27&amp;": "&amp;Anmeldung!$D$27&amp;", "&amp;Anmeldung!$E$27&amp;" / "&amp;Anmeldung!$G$27&amp;" / "&amp;Anmeldung!$J$27)&lt;&gt;Anmeldung!$P$32),Anmeldung!$B$27&amp;": "&amp;Anmeldung!$D$27&amp;", "&amp;Anmeldung!$E$27&amp;" / "&amp;Anmeldung!$G$27&amp;" / "&amp;Anmeldung!$J$27,"")</f>
        <v/>
      </c>
      <c r="DK14" t="str">
        <f>IF(AND(20&lt;&gt;25,Anmeldung!$D$27&lt;&gt;"",Anmeldung!$G$27=Anmeldung!$G$32,Anmeldung!$J$27=Anmeldung!$J$32,(Anmeldung!$B$27&amp;": "&amp;Anmeldung!$D$27&amp;", "&amp;Anmeldung!$E$27&amp;" / "&amp;Anmeldung!$G$27&amp;" / "&amp;Anmeldung!$J$27)&lt;&gt;Anmeldung!$O$32),Anmeldung!$B$27&amp;": "&amp;Anmeldung!$D$27&amp;", "&amp;Anmeldung!$E$27&amp;" / "&amp;Anmeldung!$G$27&amp;" / "&amp;Anmeldung!$J$27,"")</f>
        <v/>
      </c>
      <c r="DL14" t="str">
        <f>IF(AND(20&lt;&gt;25,Anmeldung!$D$27&lt;&gt;"",Anmeldung!$G$27&lt;&gt;Anmeldung!$G$32,(Anmeldung!$B$27&amp;": "&amp;Anmeldung!$D$27&amp;", "&amp;Anmeldung!$E$27&amp;" / "&amp;Anmeldung!$G$27&amp;" / "&amp;Anmeldung!$J$27)&lt;&gt;Anmeldung!$S$32),Anmeldung!$B$27&amp;": "&amp;Anmeldung!$D$27&amp;", "&amp;Anmeldung!$E$27&amp;" / "&amp;Anmeldung!$G$27&amp;" / "&amp;Anmeldung!$J$27,"")</f>
        <v/>
      </c>
      <c r="DM14" t="str">
        <f>IF(AND(20&lt;&gt;25,Anmeldung!$D$27&lt;&gt;"",(Anmeldung!$B$27&amp;": "&amp;Anmeldung!$D$27&amp;", "&amp;Anmeldung!$E$27&amp;" / "&amp;Anmeldung!$G$27&amp;" / "&amp;Anmeldung!$J$27)&lt;&gt;Anmeldung!$R$32),Anmeldung!$B$27&amp;": "&amp;Anmeldung!$D$27&amp;", "&amp;Anmeldung!$E$27&amp;" / "&amp;Anmeldung!$G$27&amp;" / "&amp;Anmeldung!$J$27,"")</f>
        <v/>
      </c>
      <c r="DN14" t="str">
        <f>IF(AND(19&lt;&gt;24,Anmeldung!$D$27&lt;&gt;"",Anmeldung!$U$27="Ja",Anmeldung!$G$27=Anmeldung!$G$32,Anmeldung!$J$27=Anmeldung!$J$32),Anmeldung!$B$27&amp;": "&amp;Anmeldung!$D$27&amp;", "&amp;Anmeldung!$E$27&amp;" / "&amp;Anmeldung!$G$27&amp;" / "&amp;Anmeldung!$J$27,"")</f>
        <v/>
      </c>
      <c r="DQ14" t="str">
        <f>IF(AND(20&lt;&gt;26,Anmeldung!$D$27&lt;&gt;"",Anmeldung!$G$27=Anmeldung!$G$33,Anmeldung!$J$27=Anmeldung!$J$33),Anmeldung!$B$27&amp;": "&amp;Anmeldung!$D$27&amp;", "&amp;Anmeldung!$E$27&amp;" / "&amp;Anmeldung!$G$27&amp;" / "&amp;Anmeldung!$J$27,"")</f>
        <v/>
      </c>
      <c r="DR14" t="str">
        <f>IF(AND(20&lt;&gt;26,Anmeldung!$D$27&lt;&gt;"",Anmeldung!$G$27=Anmeldung!$G$33,Anmeldung!$J$27=Anmeldung!$J$33,(Anmeldung!$B$27&amp;": "&amp;Anmeldung!$D$27&amp;", "&amp;Anmeldung!$E$27&amp;" / "&amp;Anmeldung!$G$27&amp;" / "&amp;Anmeldung!$J$27)&lt;&gt;Anmeldung!$P$33),Anmeldung!$B$27&amp;": "&amp;Anmeldung!$D$27&amp;", "&amp;Anmeldung!$E$27&amp;" / "&amp;Anmeldung!$G$27&amp;" / "&amp;Anmeldung!$J$27,"")</f>
        <v/>
      </c>
      <c r="DS14" t="str">
        <f>IF(AND(20&lt;&gt;26,Anmeldung!$D$27&lt;&gt;"",Anmeldung!$G$27=Anmeldung!$G$33,Anmeldung!$J$27=Anmeldung!$J$33,(Anmeldung!$B$27&amp;": "&amp;Anmeldung!$D$27&amp;", "&amp;Anmeldung!$E$27&amp;" / "&amp;Anmeldung!$G$27&amp;" / "&amp;Anmeldung!$J$27)&lt;&gt;Anmeldung!$O$33),Anmeldung!$B$27&amp;": "&amp;Anmeldung!$D$27&amp;", "&amp;Anmeldung!$E$27&amp;" / "&amp;Anmeldung!$G$27&amp;" / "&amp;Anmeldung!$J$27,"")</f>
        <v/>
      </c>
      <c r="DT14" t="str">
        <f>IF(AND(20&lt;&gt;26,Anmeldung!$D$27&lt;&gt;"",Anmeldung!$G$27&lt;&gt;Anmeldung!$G$33,(Anmeldung!$B$27&amp;": "&amp;Anmeldung!$D$27&amp;", "&amp;Anmeldung!$E$27&amp;" / "&amp;Anmeldung!$G$27&amp;" / "&amp;Anmeldung!$J$27)&lt;&gt;Anmeldung!$S$33),Anmeldung!$B$27&amp;": "&amp;Anmeldung!$D$27&amp;", "&amp;Anmeldung!$E$27&amp;" / "&amp;Anmeldung!$G$27&amp;" / "&amp;Anmeldung!$J$27,"")</f>
        <v/>
      </c>
      <c r="DU14" t="str">
        <f>IF(AND(20&lt;&gt;26,Anmeldung!$D$27&lt;&gt;"",(Anmeldung!$B$27&amp;": "&amp;Anmeldung!$D$27&amp;", "&amp;Anmeldung!$E$27&amp;" / "&amp;Anmeldung!$G$27&amp;" / "&amp;Anmeldung!$J$27)&lt;&gt;Anmeldung!$R$33),Anmeldung!$B$27&amp;": "&amp;Anmeldung!$D$27&amp;", "&amp;Anmeldung!$E$27&amp;" / "&amp;Anmeldung!$G$27&amp;" / "&amp;Anmeldung!$J$27,"")</f>
        <v/>
      </c>
      <c r="DV14" t="str">
        <f>IF(AND(19&lt;&gt;25,Anmeldung!$D$27&lt;&gt;"",Anmeldung!$U$27="Ja",Anmeldung!$G$27=Anmeldung!$G$33,Anmeldung!$J$27=Anmeldung!$J$33),Anmeldung!$B$27&amp;": "&amp;Anmeldung!$D$27&amp;", "&amp;Anmeldung!$E$27&amp;" / "&amp;Anmeldung!$G$27&amp;" / "&amp;Anmeldung!$J$27,"")</f>
        <v/>
      </c>
      <c r="DY14" t="str">
        <f>IF(AND(20&lt;&gt;27,Anmeldung!$D$27&lt;&gt;"",Anmeldung!$G$27=Anmeldung!$G$34,Anmeldung!$J$27=Anmeldung!$J$34),Anmeldung!$B$27&amp;": "&amp;Anmeldung!$D$27&amp;", "&amp;Anmeldung!$E$27&amp;" / "&amp;Anmeldung!$G$27&amp;" / "&amp;Anmeldung!$J$27,"")</f>
        <v/>
      </c>
      <c r="DZ14" t="str">
        <f>IF(AND(20&lt;&gt;27,Anmeldung!$D$27&lt;&gt;"",Anmeldung!$G$27=Anmeldung!$G$34,Anmeldung!$J$27=Anmeldung!$J$34,(Anmeldung!$B$27&amp;": "&amp;Anmeldung!$D$27&amp;", "&amp;Anmeldung!$E$27&amp;" / "&amp;Anmeldung!$G$27&amp;" / "&amp;Anmeldung!$J$27)&lt;&gt;Anmeldung!$P$34),Anmeldung!$B$27&amp;": "&amp;Anmeldung!$D$27&amp;", "&amp;Anmeldung!$E$27&amp;" / "&amp;Anmeldung!$G$27&amp;" / "&amp;Anmeldung!$J$27,"")</f>
        <v/>
      </c>
      <c r="EA14" t="str">
        <f>IF(AND(20&lt;&gt;27,Anmeldung!$D$27&lt;&gt;"",Anmeldung!$G$27=Anmeldung!$G$34,Anmeldung!$J$27=Anmeldung!$J$34,(Anmeldung!$B$27&amp;": "&amp;Anmeldung!$D$27&amp;", "&amp;Anmeldung!$E$27&amp;" / "&amp;Anmeldung!$G$27&amp;" / "&amp;Anmeldung!$J$27)&lt;&gt;Anmeldung!$O$34),Anmeldung!$B$27&amp;": "&amp;Anmeldung!$D$27&amp;", "&amp;Anmeldung!$E$27&amp;" / "&amp;Anmeldung!$G$27&amp;" / "&amp;Anmeldung!$J$27,"")</f>
        <v/>
      </c>
      <c r="EB14" t="str">
        <f>IF(AND(20&lt;&gt;27,Anmeldung!$D$27&lt;&gt;"",Anmeldung!$G$27&lt;&gt;Anmeldung!$G$34,(Anmeldung!$B$27&amp;": "&amp;Anmeldung!$D$27&amp;", "&amp;Anmeldung!$E$27&amp;" / "&amp;Anmeldung!$G$27&amp;" / "&amp;Anmeldung!$J$27)&lt;&gt;Anmeldung!$S$34),Anmeldung!$B$27&amp;": "&amp;Anmeldung!$D$27&amp;", "&amp;Anmeldung!$E$27&amp;" / "&amp;Anmeldung!$G$27&amp;" / "&amp;Anmeldung!$J$27,"")</f>
        <v/>
      </c>
      <c r="EC14" t="str">
        <f>IF(AND(20&lt;&gt;27,Anmeldung!$D$27&lt;&gt;"",(Anmeldung!$B$27&amp;": "&amp;Anmeldung!$D$27&amp;", "&amp;Anmeldung!$E$27&amp;" / "&amp;Anmeldung!$G$27&amp;" / "&amp;Anmeldung!$J$27)&lt;&gt;Anmeldung!$R$34),Anmeldung!$B$27&amp;": "&amp;Anmeldung!$D$27&amp;", "&amp;Anmeldung!$E$27&amp;" / "&amp;Anmeldung!$G$27&amp;" / "&amp;Anmeldung!$J$27,"")</f>
        <v/>
      </c>
      <c r="ED14" t="str">
        <f>IF(AND(19&lt;&gt;26,Anmeldung!$D$27&lt;&gt;"",Anmeldung!$U$27="Ja",Anmeldung!$G$27=Anmeldung!$G$34,Anmeldung!$J$27=Anmeldung!$J$34),Anmeldung!$B$27&amp;": "&amp;Anmeldung!$D$27&amp;", "&amp;Anmeldung!$E$27&amp;" / "&amp;Anmeldung!$G$27&amp;" / "&amp;Anmeldung!$J$27,"")</f>
        <v/>
      </c>
      <c r="EG14" t="str">
        <f>IF(AND(20&lt;&gt;28,Anmeldung!$D$27&lt;&gt;"",Anmeldung!$G$27=Anmeldung!$G$35,Anmeldung!$J$27=Anmeldung!$J$35),Anmeldung!$B$27&amp;": "&amp;Anmeldung!$D$27&amp;", "&amp;Anmeldung!$E$27&amp;" / "&amp;Anmeldung!$G$27&amp;" / "&amp;Anmeldung!$J$27,"")</f>
        <v/>
      </c>
      <c r="EH14" t="str">
        <f>IF(AND(20&lt;&gt;28,Anmeldung!$D$27&lt;&gt;"",Anmeldung!$G$27=Anmeldung!$G$35,Anmeldung!$J$27=Anmeldung!$J$35,(Anmeldung!$B$27&amp;": "&amp;Anmeldung!$D$27&amp;", "&amp;Anmeldung!$E$27&amp;" / "&amp;Anmeldung!$G$27&amp;" / "&amp;Anmeldung!$J$27)&lt;&gt;Anmeldung!$P$35),Anmeldung!$B$27&amp;": "&amp;Anmeldung!$D$27&amp;", "&amp;Anmeldung!$E$27&amp;" / "&amp;Anmeldung!$G$27&amp;" / "&amp;Anmeldung!$J$27,"")</f>
        <v/>
      </c>
      <c r="EI14" t="str">
        <f>IF(AND(20&lt;&gt;28,Anmeldung!$D$27&lt;&gt;"",Anmeldung!$G$27=Anmeldung!$G$35,Anmeldung!$J$27=Anmeldung!$J$35,(Anmeldung!$B$27&amp;": "&amp;Anmeldung!$D$27&amp;", "&amp;Anmeldung!$E$27&amp;" / "&amp;Anmeldung!$G$27&amp;" / "&amp;Anmeldung!$J$27)&lt;&gt;Anmeldung!$O$35),Anmeldung!$B$27&amp;": "&amp;Anmeldung!$D$27&amp;", "&amp;Anmeldung!$E$27&amp;" / "&amp;Anmeldung!$G$27&amp;" / "&amp;Anmeldung!$J$27,"")</f>
        <v/>
      </c>
      <c r="EJ14" t="str">
        <f>IF(AND(20&lt;&gt;28,Anmeldung!$D$27&lt;&gt;"",Anmeldung!$G$27&lt;&gt;Anmeldung!$G$35,(Anmeldung!$B$27&amp;": "&amp;Anmeldung!$D$27&amp;", "&amp;Anmeldung!$E$27&amp;" / "&amp;Anmeldung!$G$27&amp;" / "&amp;Anmeldung!$J$27)&lt;&gt;Anmeldung!$S$35),Anmeldung!$B$27&amp;": "&amp;Anmeldung!$D$27&amp;", "&amp;Anmeldung!$E$27&amp;" / "&amp;Anmeldung!$G$27&amp;" / "&amp;Anmeldung!$J$27,"")</f>
        <v/>
      </c>
      <c r="EK14" t="str">
        <f>IF(AND(20&lt;&gt;28,Anmeldung!$D$27&lt;&gt;"",(Anmeldung!$B$27&amp;": "&amp;Anmeldung!$D$27&amp;", "&amp;Anmeldung!$E$27&amp;" / "&amp;Anmeldung!$G$27&amp;" / "&amp;Anmeldung!$J$27)&lt;&gt;Anmeldung!$R$35),Anmeldung!$B$27&amp;": "&amp;Anmeldung!$D$27&amp;", "&amp;Anmeldung!$E$27&amp;" / "&amp;Anmeldung!$G$27&amp;" / "&amp;Anmeldung!$J$27,"")</f>
        <v/>
      </c>
      <c r="EL14" t="str">
        <f>IF(AND(19&lt;&gt;27,Anmeldung!$D$27&lt;&gt;"",Anmeldung!$U$27="Ja",Anmeldung!$G$27=Anmeldung!$G$35,Anmeldung!$J$27=Anmeldung!$J$35),Anmeldung!$B$27&amp;": "&amp;Anmeldung!$D$27&amp;", "&amp;Anmeldung!$E$27&amp;" / "&amp;Anmeldung!$G$27&amp;" / "&amp;Anmeldung!$J$27,"")</f>
        <v/>
      </c>
      <c r="EO14" t="str">
        <f>IF(AND(20&lt;&gt;29,Anmeldung!$D$27&lt;&gt;"",Anmeldung!$G$27=Anmeldung!$G$36,Anmeldung!$J$27=Anmeldung!$J$36),Anmeldung!$B$27&amp;": "&amp;Anmeldung!$D$27&amp;", "&amp;Anmeldung!$E$27&amp;" / "&amp;Anmeldung!$G$27&amp;" / "&amp;Anmeldung!$J$27,"")</f>
        <v/>
      </c>
      <c r="EP14" t="str">
        <f>IF(AND(20&lt;&gt;29,Anmeldung!$D$27&lt;&gt;"",Anmeldung!$G$27=Anmeldung!$G$36,Anmeldung!$J$27=Anmeldung!$J$36,(Anmeldung!$B$27&amp;": "&amp;Anmeldung!$D$27&amp;", "&amp;Anmeldung!$E$27&amp;" / "&amp;Anmeldung!$G$27&amp;" / "&amp;Anmeldung!$J$27)&lt;&gt;Anmeldung!$P$36),Anmeldung!$B$27&amp;": "&amp;Anmeldung!$D$27&amp;", "&amp;Anmeldung!$E$27&amp;" / "&amp;Anmeldung!$G$27&amp;" / "&amp;Anmeldung!$J$27,"")</f>
        <v/>
      </c>
      <c r="EQ14" t="str">
        <f>IF(AND(20&lt;&gt;29,Anmeldung!$D$27&lt;&gt;"",Anmeldung!$G$27=Anmeldung!$G$36,Anmeldung!$J$27=Anmeldung!$J$36,(Anmeldung!$B$27&amp;": "&amp;Anmeldung!$D$27&amp;", "&amp;Anmeldung!$E$27&amp;" / "&amp;Anmeldung!$G$27&amp;" / "&amp;Anmeldung!$J$27)&lt;&gt;Anmeldung!$O$36),Anmeldung!$B$27&amp;": "&amp;Anmeldung!$D$27&amp;", "&amp;Anmeldung!$E$27&amp;" / "&amp;Anmeldung!$G$27&amp;" / "&amp;Anmeldung!$J$27,"")</f>
        <v/>
      </c>
      <c r="ER14" t="str">
        <f>IF(AND(20&lt;&gt;29,Anmeldung!$D$27&lt;&gt;"",Anmeldung!$G$27&lt;&gt;Anmeldung!$G$36,(Anmeldung!$B$27&amp;": "&amp;Anmeldung!$D$27&amp;", "&amp;Anmeldung!$E$27&amp;" / "&amp;Anmeldung!$G$27&amp;" / "&amp;Anmeldung!$J$27)&lt;&gt;Anmeldung!$S$36),Anmeldung!$B$27&amp;": "&amp;Anmeldung!$D$27&amp;", "&amp;Anmeldung!$E$27&amp;" / "&amp;Anmeldung!$G$27&amp;" / "&amp;Anmeldung!$J$27,"")</f>
        <v/>
      </c>
      <c r="ES14" t="str">
        <f>IF(AND(20&lt;&gt;29,Anmeldung!$D$27&lt;&gt;"",(Anmeldung!$B$27&amp;": "&amp;Anmeldung!$D$27&amp;", "&amp;Anmeldung!$E$27&amp;" / "&amp;Anmeldung!$G$27&amp;" / "&amp;Anmeldung!$J$27)&lt;&gt;Anmeldung!$R$36),Anmeldung!$B$27&amp;": "&amp;Anmeldung!$D$27&amp;", "&amp;Anmeldung!$E$27&amp;" / "&amp;Anmeldung!$G$27&amp;" / "&amp;Anmeldung!$J$27,"")</f>
        <v/>
      </c>
      <c r="ET14" t="str">
        <f>IF(AND(19&lt;&gt;28,Anmeldung!$D$27&lt;&gt;"",Anmeldung!$U$27="Ja",Anmeldung!$G$27=Anmeldung!$G$36,Anmeldung!$J$27=Anmeldung!$J$36),Anmeldung!$B$27&amp;": "&amp;Anmeldung!$D$27&amp;", "&amp;Anmeldung!$E$27&amp;" / "&amp;Anmeldung!$G$27&amp;" / "&amp;Anmeldung!$J$27,"")</f>
        <v/>
      </c>
      <c r="EW14" t="str">
        <f>IF(AND(20&lt;&gt;30,Anmeldung!$D$27&lt;&gt;"",Anmeldung!$G$27=Anmeldung!$G$37,Anmeldung!$J$27=Anmeldung!$J$37),Anmeldung!$B$27&amp;": "&amp;Anmeldung!$D$27&amp;", "&amp;Anmeldung!$E$27&amp;" / "&amp;Anmeldung!$G$27&amp;" / "&amp;Anmeldung!$J$27,"")</f>
        <v/>
      </c>
      <c r="EX14" t="str">
        <f>IF(AND(20&lt;&gt;30,Anmeldung!$D$27&lt;&gt;"",Anmeldung!$G$27=Anmeldung!$G$37,Anmeldung!$J$27=Anmeldung!$J$37,(Anmeldung!$B$27&amp;": "&amp;Anmeldung!$D$27&amp;", "&amp;Anmeldung!$E$27&amp;" / "&amp;Anmeldung!$G$27&amp;" / "&amp;Anmeldung!$J$27)&lt;&gt;Anmeldung!$P$37),Anmeldung!$B$27&amp;": "&amp;Anmeldung!$D$27&amp;", "&amp;Anmeldung!$E$27&amp;" / "&amp;Anmeldung!$G$27&amp;" / "&amp;Anmeldung!$J$27,"")</f>
        <v/>
      </c>
      <c r="EY14" t="str">
        <f>IF(AND(20&lt;&gt;30,Anmeldung!$D$27&lt;&gt;"",Anmeldung!$G$27=Anmeldung!$G$37,Anmeldung!$J$27=Anmeldung!$J$37,(Anmeldung!$B$27&amp;": "&amp;Anmeldung!$D$27&amp;", "&amp;Anmeldung!$E$27&amp;" / "&amp;Anmeldung!$G$27&amp;" / "&amp;Anmeldung!$J$27)&lt;&gt;Anmeldung!$O$37),Anmeldung!$B$27&amp;": "&amp;Anmeldung!$D$27&amp;", "&amp;Anmeldung!$E$27&amp;" / "&amp;Anmeldung!$G$27&amp;" / "&amp;Anmeldung!$J$27,"")</f>
        <v/>
      </c>
      <c r="EZ14" t="str">
        <f>IF(AND(20&lt;&gt;30,Anmeldung!$D$27&lt;&gt;"",Anmeldung!$G$27&lt;&gt;Anmeldung!$G$37,(Anmeldung!$B$27&amp;": "&amp;Anmeldung!$D$27&amp;", "&amp;Anmeldung!$E$27&amp;" / "&amp;Anmeldung!$G$27&amp;" / "&amp;Anmeldung!$J$27)&lt;&gt;Anmeldung!$S$37),Anmeldung!$B$27&amp;": "&amp;Anmeldung!$D$27&amp;", "&amp;Anmeldung!$E$27&amp;" / "&amp;Anmeldung!$G$27&amp;" / "&amp;Anmeldung!$J$27,"")</f>
        <v/>
      </c>
      <c r="FA14" t="str">
        <f>IF(AND(20&lt;&gt;30,Anmeldung!$D$27&lt;&gt;"",(Anmeldung!$B$27&amp;": "&amp;Anmeldung!$D$27&amp;", "&amp;Anmeldung!$E$27&amp;" / "&amp;Anmeldung!$G$27&amp;" / "&amp;Anmeldung!$J$27)&lt;&gt;Anmeldung!$R$37),Anmeldung!$B$27&amp;": "&amp;Anmeldung!$D$27&amp;", "&amp;Anmeldung!$E$27&amp;" / "&amp;Anmeldung!$G$27&amp;" / "&amp;Anmeldung!$J$27,"")</f>
        <v/>
      </c>
      <c r="FB14" t="str">
        <f>IF(AND(19&lt;&gt;29,Anmeldung!$D$27&lt;&gt;"",Anmeldung!$U$27="Ja",Anmeldung!$G$27=Anmeldung!$G$37,Anmeldung!$J$27=Anmeldung!$J$37),Anmeldung!$B$27&amp;": "&amp;Anmeldung!$D$27&amp;", "&amp;Anmeldung!$E$27&amp;" / "&amp;Anmeldung!$G$27&amp;" / "&amp;Anmeldung!$J$27,"")</f>
        <v/>
      </c>
      <c r="FE14" t="str">
        <f>IF(AND(20&lt;&gt;31,Anmeldung!$D$27&lt;&gt;"",Anmeldung!$G$27=Anmeldung!$G$38,Anmeldung!$J$27=Anmeldung!$J$38),Anmeldung!$B$27&amp;": "&amp;Anmeldung!$D$27&amp;", "&amp;Anmeldung!$E$27&amp;" / "&amp;Anmeldung!$G$27&amp;" / "&amp;Anmeldung!$J$27,"")</f>
        <v/>
      </c>
      <c r="FF14" t="str">
        <f>IF(AND(20&lt;&gt;31,Anmeldung!$D$27&lt;&gt;"",Anmeldung!$G$27=Anmeldung!$G$38,Anmeldung!$J$27=Anmeldung!$J$38,(Anmeldung!$B$27&amp;": "&amp;Anmeldung!$D$27&amp;", "&amp;Anmeldung!$E$27&amp;" / "&amp;Anmeldung!$G$27&amp;" / "&amp;Anmeldung!$J$27)&lt;&gt;Anmeldung!$P$38),Anmeldung!$B$27&amp;": "&amp;Anmeldung!$D$27&amp;", "&amp;Anmeldung!$E$27&amp;" / "&amp;Anmeldung!$G$27&amp;" / "&amp;Anmeldung!$J$27,"")</f>
        <v/>
      </c>
      <c r="FG14" t="str">
        <f>IF(AND(20&lt;&gt;31,Anmeldung!$D$27&lt;&gt;"",Anmeldung!$G$27=Anmeldung!$G$38,Anmeldung!$J$27=Anmeldung!$J$38,(Anmeldung!$B$27&amp;": "&amp;Anmeldung!$D$27&amp;", "&amp;Anmeldung!$E$27&amp;" / "&amp;Anmeldung!$G$27&amp;" / "&amp;Anmeldung!$J$27)&lt;&gt;Anmeldung!$O$38),Anmeldung!$B$27&amp;": "&amp;Anmeldung!$D$27&amp;", "&amp;Anmeldung!$E$27&amp;" / "&amp;Anmeldung!$G$27&amp;" / "&amp;Anmeldung!$J$27,"")</f>
        <v/>
      </c>
      <c r="FH14" t="str">
        <f>IF(AND(20&lt;&gt;31,Anmeldung!$D$27&lt;&gt;"",Anmeldung!$G$27&lt;&gt;Anmeldung!$G$38,(Anmeldung!$B$27&amp;": "&amp;Anmeldung!$D$27&amp;", "&amp;Anmeldung!$E$27&amp;" / "&amp;Anmeldung!$G$27&amp;" / "&amp;Anmeldung!$J$27)&lt;&gt;Anmeldung!$S$38),Anmeldung!$B$27&amp;": "&amp;Anmeldung!$D$27&amp;", "&amp;Anmeldung!$E$27&amp;" / "&amp;Anmeldung!$G$27&amp;" / "&amp;Anmeldung!$J$27,"")</f>
        <v/>
      </c>
      <c r="FI14" t="str">
        <f>IF(AND(20&lt;&gt;31,Anmeldung!$D$27&lt;&gt;"",(Anmeldung!$B$27&amp;": "&amp;Anmeldung!$D$27&amp;", "&amp;Anmeldung!$E$27&amp;" / "&amp;Anmeldung!$G$27&amp;" / "&amp;Anmeldung!$J$27)&lt;&gt;Anmeldung!$R$38),Anmeldung!$B$27&amp;": "&amp;Anmeldung!$D$27&amp;", "&amp;Anmeldung!$E$27&amp;" / "&amp;Anmeldung!$G$27&amp;" / "&amp;Anmeldung!$J$27,"")</f>
        <v/>
      </c>
      <c r="FJ14" t="str">
        <f>IF(AND(19&lt;&gt;30,Anmeldung!$D$27&lt;&gt;"",Anmeldung!$U$27="Ja",Anmeldung!$G$27=Anmeldung!$G$38,Anmeldung!$J$27=Anmeldung!$J$38),Anmeldung!$B$27&amp;": "&amp;Anmeldung!$D$27&amp;", "&amp;Anmeldung!$E$27&amp;" / "&amp;Anmeldung!$G$27&amp;" / "&amp;Anmeldung!$J$27,"")</f>
        <v/>
      </c>
      <c r="FM14" t="str">
        <f>IF(AND(20&lt;&gt;32,Anmeldung!$D$27&lt;&gt;"",Anmeldung!$G$27=Anmeldung!$G$39,Anmeldung!$J$27=Anmeldung!$J$39),Anmeldung!$B$27&amp;": "&amp;Anmeldung!$D$27&amp;", "&amp;Anmeldung!$E$27&amp;" / "&amp;Anmeldung!$G$27&amp;" / "&amp;Anmeldung!$J$27,"")</f>
        <v/>
      </c>
      <c r="FN14" t="str">
        <f>IF(AND(20&lt;&gt;32,Anmeldung!$D$27&lt;&gt;"",Anmeldung!$G$27=Anmeldung!$G$39,Anmeldung!$J$27=Anmeldung!$J$39,(Anmeldung!$B$27&amp;": "&amp;Anmeldung!$D$27&amp;", "&amp;Anmeldung!$E$27&amp;" / "&amp;Anmeldung!$G$27&amp;" / "&amp;Anmeldung!$J$27)&lt;&gt;Anmeldung!$P$39),Anmeldung!$B$27&amp;": "&amp;Anmeldung!$D$27&amp;", "&amp;Anmeldung!$E$27&amp;" / "&amp;Anmeldung!$G$27&amp;" / "&amp;Anmeldung!$J$27,"")</f>
        <v/>
      </c>
      <c r="FO14" t="str">
        <f>IF(AND(20&lt;&gt;32,Anmeldung!$D$27&lt;&gt;"",Anmeldung!$G$27=Anmeldung!$G$39,Anmeldung!$J$27=Anmeldung!$J$39,(Anmeldung!$B$27&amp;": "&amp;Anmeldung!$D$27&amp;", "&amp;Anmeldung!$E$27&amp;" / "&amp;Anmeldung!$G$27&amp;" / "&amp;Anmeldung!$J$27)&lt;&gt;Anmeldung!$O$39),Anmeldung!$B$27&amp;": "&amp;Anmeldung!$D$27&amp;", "&amp;Anmeldung!$E$27&amp;" / "&amp;Anmeldung!$G$27&amp;" / "&amp;Anmeldung!$J$27,"")</f>
        <v/>
      </c>
      <c r="FP14" t="str">
        <f>IF(AND(20&lt;&gt;32,Anmeldung!$D$27&lt;&gt;"",Anmeldung!$G$27&lt;&gt;Anmeldung!$G$39,(Anmeldung!$B$27&amp;": "&amp;Anmeldung!$D$27&amp;", "&amp;Anmeldung!$E$27&amp;" / "&amp;Anmeldung!$G$27&amp;" / "&amp;Anmeldung!$J$27)&lt;&gt;Anmeldung!$S$39),Anmeldung!$B$27&amp;": "&amp;Anmeldung!$D$27&amp;", "&amp;Anmeldung!$E$27&amp;" / "&amp;Anmeldung!$G$27&amp;" / "&amp;Anmeldung!$J$27,"")</f>
        <v/>
      </c>
      <c r="FQ14" t="str">
        <f>IF(AND(20&lt;&gt;32,Anmeldung!$D$27&lt;&gt;"",(Anmeldung!$B$27&amp;": "&amp;Anmeldung!$D$27&amp;", "&amp;Anmeldung!$E$27&amp;" / "&amp;Anmeldung!$G$27&amp;" / "&amp;Anmeldung!$J$27)&lt;&gt;Anmeldung!$R$39),Anmeldung!$B$27&amp;": "&amp;Anmeldung!$D$27&amp;", "&amp;Anmeldung!$E$27&amp;" / "&amp;Anmeldung!$G$27&amp;" / "&amp;Anmeldung!$J$27,"")</f>
        <v/>
      </c>
      <c r="FR14" t="str">
        <f>IF(AND(19&lt;&gt;31,Anmeldung!$D$27&lt;&gt;"",Anmeldung!$U$27="Ja",Anmeldung!$G$27=Anmeldung!$G$39,Anmeldung!$J$27=Anmeldung!$J$39),Anmeldung!$B$27&amp;": "&amp;Anmeldung!$D$27&amp;", "&amp;Anmeldung!$E$27&amp;" / "&amp;Anmeldung!$G$27&amp;" / "&amp;Anmeldung!$J$27,"")</f>
        <v/>
      </c>
      <c r="FU14" t="str">
        <f>IF(AND(20&lt;&gt;33,Anmeldung!$D$27&lt;&gt;"",Anmeldung!$G$27=Anmeldung!$G$40,Anmeldung!$J$27=Anmeldung!$J$40),Anmeldung!$B$27&amp;": "&amp;Anmeldung!$D$27&amp;", "&amp;Anmeldung!$E$27&amp;" / "&amp;Anmeldung!$G$27&amp;" / "&amp;Anmeldung!$J$27,"")</f>
        <v/>
      </c>
      <c r="FV14" t="str">
        <f>IF(AND(20&lt;&gt;33,Anmeldung!$D$27&lt;&gt;"",Anmeldung!$G$27=Anmeldung!$G$40,Anmeldung!$J$27=Anmeldung!$J$40,(Anmeldung!$B$27&amp;": "&amp;Anmeldung!$D$27&amp;", "&amp;Anmeldung!$E$27&amp;" / "&amp;Anmeldung!$G$27&amp;" / "&amp;Anmeldung!$J$27)&lt;&gt;Anmeldung!$P$40),Anmeldung!$B$27&amp;": "&amp;Anmeldung!$D$27&amp;", "&amp;Anmeldung!$E$27&amp;" / "&amp;Anmeldung!$G$27&amp;" / "&amp;Anmeldung!$J$27,"")</f>
        <v/>
      </c>
      <c r="FW14" t="str">
        <f>IF(AND(20&lt;&gt;33,Anmeldung!$D$27&lt;&gt;"",Anmeldung!$G$27=Anmeldung!$G$40,Anmeldung!$J$27=Anmeldung!$J$40,(Anmeldung!$B$27&amp;": "&amp;Anmeldung!$D$27&amp;", "&amp;Anmeldung!$E$27&amp;" / "&amp;Anmeldung!$G$27&amp;" / "&amp;Anmeldung!$J$27)&lt;&gt;Anmeldung!$O$40),Anmeldung!$B$27&amp;": "&amp;Anmeldung!$D$27&amp;", "&amp;Anmeldung!$E$27&amp;" / "&amp;Anmeldung!$G$27&amp;" / "&amp;Anmeldung!$J$27,"")</f>
        <v/>
      </c>
      <c r="FX14" t="str">
        <f>IF(AND(20&lt;&gt;33,Anmeldung!$D$27&lt;&gt;"",Anmeldung!$G$27&lt;&gt;Anmeldung!$G$40,(Anmeldung!$B$27&amp;": "&amp;Anmeldung!$D$27&amp;", "&amp;Anmeldung!$E$27&amp;" / "&amp;Anmeldung!$G$27&amp;" / "&amp;Anmeldung!$J$27)&lt;&gt;Anmeldung!$S$40),Anmeldung!$B$27&amp;": "&amp;Anmeldung!$D$27&amp;", "&amp;Anmeldung!$E$27&amp;" / "&amp;Anmeldung!$G$27&amp;" / "&amp;Anmeldung!$J$27,"")</f>
        <v/>
      </c>
      <c r="FY14" t="str">
        <f>IF(AND(20&lt;&gt;33,Anmeldung!$D$27&lt;&gt;"",(Anmeldung!$B$27&amp;": "&amp;Anmeldung!$D$27&amp;", "&amp;Anmeldung!$E$27&amp;" / "&amp;Anmeldung!$G$27&amp;" / "&amp;Anmeldung!$J$27)&lt;&gt;Anmeldung!$R$40),Anmeldung!$B$27&amp;": "&amp;Anmeldung!$D$27&amp;", "&amp;Anmeldung!$E$27&amp;" / "&amp;Anmeldung!$G$27&amp;" / "&amp;Anmeldung!$J$27,"")</f>
        <v/>
      </c>
      <c r="FZ14" t="str">
        <f>IF(AND(19&lt;&gt;32,Anmeldung!$D$27&lt;&gt;"",Anmeldung!$U$27="Ja",Anmeldung!$G$27=Anmeldung!$G$40,Anmeldung!$J$27=Anmeldung!$J$40),Anmeldung!$B$27&amp;": "&amp;Anmeldung!$D$27&amp;", "&amp;Anmeldung!$E$27&amp;" / "&amp;Anmeldung!$G$27&amp;" / "&amp;Anmeldung!$J$27,"")</f>
        <v/>
      </c>
      <c r="GC14" t="str">
        <f>IF(AND(20&lt;&gt;34,Anmeldung!$D$27&lt;&gt;"",Anmeldung!$G$27=Anmeldung!$G$41,Anmeldung!$J$27=Anmeldung!$J$41),Anmeldung!$B$27&amp;": "&amp;Anmeldung!$D$27&amp;", "&amp;Anmeldung!$E$27&amp;" / "&amp;Anmeldung!$G$27&amp;" / "&amp;Anmeldung!$J$27,"")</f>
        <v/>
      </c>
      <c r="GD14" t="str">
        <f>IF(AND(20&lt;&gt;34,Anmeldung!$D$27&lt;&gt;"",Anmeldung!$G$27=Anmeldung!$G$41,Anmeldung!$J$27=Anmeldung!$J$41,(Anmeldung!$B$27&amp;": "&amp;Anmeldung!$D$27&amp;", "&amp;Anmeldung!$E$27&amp;" / "&amp;Anmeldung!$G$27&amp;" / "&amp;Anmeldung!$J$27)&lt;&gt;Anmeldung!$P$41),Anmeldung!$B$27&amp;": "&amp;Anmeldung!$D$27&amp;", "&amp;Anmeldung!$E$27&amp;" / "&amp;Anmeldung!$G$27&amp;" / "&amp;Anmeldung!$J$27,"")</f>
        <v/>
      </c>
      <c r="GE14" t="str">
        <f>IF(AND(20&lt;&gt;34,Anmeldung!$D$27&lt;&gt;"",Anmeldung!$G$27=Anmeldung!$G$41,Anmeldung!$J$27=Anmeldung!$J$41,(Anmeldung!$B$27&amp;": "&amp;Anmeldung!$D$27&amp;", "&amp;Anmeldung!$E$27&amp;" / "&amp;Anmeldung!$G$27&amp;" / "&amp;Anmeldung!$J$27)&lt;&gt;Anmeldung!$O$41),Anmeldung!$B$27&amp;": "&amp;Anmeldung!$D$27&amp;", "&amp;Anmeldung!$E$27&amp;" / "&amp;Anmeldung!$G$27&amp;" / "&amp;Anmeldung!$J$27,"")</f>
        <v/>
      </c>
      <c r="GF14" t="str">
        <f>IF(AND(20&lt;&gt;34,Anmeldung!$D$27&lt;&gt;"",Anmeldung!$G$27&lt;&gt;Anmeldung!$G$41,(Anmeldung!$B$27&amp;": "&amp;Anmeldung!$D$27&amp;", "&amp;Anmeldung!$E$27&amp;" / "&amp;Anmeldung!$G$27&amp;" / "&amp;Anmeldung!$J$27)&lt;&gt;Anmeldung!$S$41),Anmeldung!$B$27&amp;": "&amp;Anmeldung!$D$27&amp;", "&amp;Anmeldung!$E$27&amp;" / "&amp;Anmeldung!$G$27&amp;" / "&amp;Anmeldung!$J$27,"")</f>
        <v/>
      </c>
      <c r="GG14" t="str">
        <f>IF(AND(20&lt;&gt;34,Anmeldung!$D$27&lt;&gt;"",(Anmeldung!$B$27&amp;": "&amp;Anmeldung!$D$27&amp;", "&amp;Anmeldung!$E$27&amp;" / "&amp;Anmeldung!$G$27&amp;" / "&amp;Anmeldung!$J$27)&lt;&gt;Anmeldung!$R$41),Anmeldung!$B$27&amp;": "&amp;Anmeldung!$D$27&amp;", "&amp;Anmeldung!$E$27&amp;" / "&amp;Anmeldung!$G$27&amp;" / "&amp;Anmeldung!$J$27,"")</f>
        <v/>
      </c>
      <c r="GH14" t="str">
        <f>IF(AND(19&lt;&gt;33,Anmeldung!$D$27&lt;&gt;"",Anmeldung!$U$27="Ja",Anmeldung!$G$27=Anmeldung!$G$41,Anmeldung!$J$27=Anmeldung!$J$41),Anmeldung!$B$27&amp;": "&amp;Anmeldung!$D$27&amp;", "&amp;Anmeldung!$E$27&amp;" / "&amp;Anmeldung!$G$27&amp;" / "&amp;Anmeldung!$J$27,"")</f>
        <v/>
      </c>
      <c r="GK14" t="str">
        <f>IF(AND(20&lt;&gt;35,Anmeldung!$D$27&lt;&gt;"",Anmeldung!$G$27=Anmeldung!$G$42,Anmeldung!$J$27=Anmeldung!$J$42),Anmeldung!$B$27&amp;": "&amp;Anmeldung!$D$27&amp;", "&amp;Anmeldung!$E$27&amp;" / "&amp;Anmeldung!$G$27&amp;" / "&amp;Anmeldung!$J$27,"")</f>
        <v/>
      </c>
      <c r="GL14" t="str">
        <f>IF(AND(20&lt;&gt;35,Anmeldung!$D$27&lt;&gt;"",Anmeldung!$G$27=Anmeldung!$G$42,Anmeldung!$J$27=Anmeldung!$J$42,(Anmeldung!$B$27&amp;": "&amp;Anmeldung!$D$27&amp;", "&amp;Anmeldung!$E$27&amp;" / "&amp;Anmeldung!$G$27&amp;" / "&amp;Anmeldung!$J$27)&lt;&gt;Anmeldung!$P$42),Anmeldung!$B$27&amp;": "&amp;Anmeldung!$D$27&amp;", "&amp;Anmeldung!$E$27&amp;" / "&amp;Anmeldung!$G$27&amp;" / "&amp;Anmeldung!$J$27,"")</f>
        <v/>
      </c>
      <c r="GM14" t="str">
        <f>IF(AND(20&lt;&gt;35,Anmeldung!$D$27&lt;&gt;"",Anmeldung!$G$27=Anmeldung!$G$42,Anmeldung!$J$27=Anmeldung!$J$42,(Anmeldung!$B$27&amp;": "&amp;Anmeldung!$D$27&amp;", "&amp;Anmeldung!$E$27&amp;" / "&amp;Anmeldung!$G$27&amp;" / "&amp;Anmeldung!$J$27)&lt;&gt;Anmeldung!$O$42),Anmeldung!$B$27&amp;": "&amp;Anmeldung!$D$27&amp;", "&amp;Anmeldung!$E$27&amp;" / "&amp;Anmeldung!$G$27&amp;" / "&amp;Anmeldung!$J$27,"")</f>
        <v/>
      </c>
      <c r="GN14" t="str">
        <f>IF(AND(20&lt;&gt;35,Anmeldung!$D$27&lt;&gt;"",Anmeldung!$G$27&lt;&gt;Anmeldung!$G$42,(Anmeldung!$B$27&amp;": "&amp;Anmeldung!$D$27&amp;", "&amp;Anmeldung!$E$27&amp;" / "&amp;Anmeldung!$G$27&amp;" / "&amp;Anmeldung!$J$27)&lt;&gt;Anmeldung!$S$42),Anmeldung!$B$27&amp;": "&amp;Anmeldung!$D$27&amp;", "&amp;Anmeldung!$E$27&amp;" / "&amp;Anmeldung!$G$27&amp;" / "&amp;Anmeldung!$J$27,"")</f>
        <v/>
      </c>
      <c r="GO14" t="str">
        <f>IF(AND(20&lt;&gt;35,Anmeldung!$D$27&lt;&gt;"",(Anmeldung!$B$27&amp;": "&amp;Anmeldung!$D$27&amp;", "&amp;Anmeldung!$E$27&amp;" / "&amp;Anmeldung!$G$27&amp;" / "&amp;Anmeldung!$J$27)&lt;&gt;Anmeldung!$R$42),Anmeldung!$B$27&amp;": "&amp;Anmeldung!$D$27&amp;", "&amp;Anmeldung!$E$27&amp;" / "&amp;Anmeldung!$G$27&amp;" / "&amp;Anmeldung!$J$27,"")</f>
        <v/>
      </c>
      <c r="GP14" t="str">
        <f>IF(AND(19&lt;&gt;34,Anmeldung!$D$27&lt;&gt;"",Anmeldung!$U$27="Ja",Anmeldung!$G$27=Anmeldung!$G$42,Anmeldung!$J$27=Anmeldung!$J$42),Anmeldung!$B$27&amp;": "&amp;Anmeldung!$D$27&amp;", "&amp;Anmeldung!$E$27&amp;" / "&amp;Anmeldung!$G$27&amp;" / "&amp;Anmeldung!$J$27,"")</f>
        <v/>
      </c>
      <c r="GS14" t="str">
        <f>IF(AND(20&lt;&gt;36,Anmeldung!$D$27&lt;&gt;"",Anmeldung!$G$27=Anmeldung!$G$43,Anmeldung!$J$27=Anmeldung!$J$43),Anmeldung!$B$27&amp;": "&amp;Anmeldung!$D$27&amp;", "&amp;Anmeldung!$E$27&amp;" / "&amp;Anmeldung!$G$27&amp;" / "&amp;Anmeldung!$J$27,"")</f>
        <v/>
      </c>
      <c r="GT14" t="str">
        <f>IF(AND(20&lt;&gt;36,Anmeldung!$D$27&lt;&gt;"",Anmeldung!$G$27=Anmeldung!$G$43,Anmeldung!$J$27=Anmeldung!$J$43,(Anmeldung!$B$27&amp;": "&amp;Anmeldung!$D$27&amp;", "&amp;Anmeldung!$E$27&amp;" / "&amp;Anmeldung!$G$27&amp;" / "&amp;Anmeldung!$J$27)&lt;&gt;Anmeldung!$P$43),Anmeldung!$B$27&amp;": "&amp;Anmeldung!$D$27&amp;", "&amp;Anmeldung!$E$27&amp;" / "&amp;Anmeldung!$G$27&amp;" / "&amp;Anmeldung!$J$27,"")</f>
        <v/>
      </c>
      <c r="GU14" t="str">
        <f>IF(AND(20&lt;&gt;36,Anmeldung!$D$27&lt;&gt;"",Anmeldung!$G$27=Anmeldung!$G$43,Anmeldung!$J$27=Anmeldung!$J$43,(Anmeldung!$B$27&amp;": "&amp;Anmeldung!$D$27&amp;", "&amp;Anmeldung!$E$27&amp;" / "&amp;Anmeldung!$G$27&amp;" / "&amp;Anmeldung!$J$27)&lt;&gt;Anmeldung!$O$43),Anmeldung!$B$27&amp;": "&amp;Anmeldung!$D$27&amp;", "&amp;Anmeldung!$E$27&amp;" / "&amp;Anmeldung!$G$27&amp;" / "&amp;Anmeldung!$J$27,"")</f>
        <v/>
      </c>
      <c r="GV14" t="str">
        <f>IF(AND(20&lt;&gt;36,Anmeldung!$D$27&lt;&gt;"",Anmeldung!$G$27&lt;&gt;Anmeldung!$G$43,(Anmeldung!$B$27&amp;": "&amp;Anmeldung!$D$27&amp;", "&amp;Anmeldung!$E$27&amp;" / "&amp;Anmeldung!$G$27&amp;" / "&amp;Anmeldung!$J$27)&lt;&gt;Anmeldung!$S$43),Anmeldung!$B$27&amp;": "&amp;Anmeldung!$D$27&amp;", "&amp;Anmeldung!$E$27&amp;" / "&amp;Anmeldung!$G$27&amp;" / "&amp;Anmeldung!$J$27,"")</f>
        <v/>
      </c>
      <c r="GW14" t="str">
        <f>IF(AND(20&lt;&gt;36,Anmeldung!$D$27&lt;&gt;"",(Anmeldung!$B$27&amp;": "&amp;Anmeldung!$D$27&amp;", "&amp;Anmeldung!$E$27&amp;" / "&amp;Anmeldung!$G$27&amp;" / "&amp;Anmeldung!$J$27)&lt;&gt;Anmeldung!$R$43),Anmeldung!$B$27&amp;": "&amp;Anmeldung!$D$27&amp;", "&amp;Anmeldung!$E$27&amp;" / "&amp;Anmeldung!$G$27&amp;" / "&amp;Anmeldung!$J$27,"")</f>
        <v/>
      </c>
      <c r="GX14" t="str">
        <f>IF(AND(19&lt;&gt;35,Anmeldung!$D$27&lt;&gt;"",Anmeldung!$U$27="Ja",Anmeldung!$G$27=Anmeldung!$G$43,Anmeldung!$J$27=Anmeldung!$J$43),Anmeldung!$B$27&amp;": "&amp;Anmeldung!$D$27&amp;", "&amp;Anmeldung!$E$27&amp;" / "&amp;Anmeldung!$G$27&amp;" / "&amp;Anmeldung!$J$27,"")</f>
        <v/>
      </c>
      <c r="HA14" t="str">
        <f>IF(AND(20&lt;&gt;37,Anmeldung!$D$27&lt;&gt;"",Anmeldung!$G$27=Anmeldung!$G$44,Anmeldung!$J$27=Anmeldung!$J$44),Anmeldung!$B$27&amp;": "&amp;Anmeldung!$D$27&amp;", "&amp;Anmeldung!$E$27&amp;" / "&amp;Anmeldung!$G$27&amp;" / "&amp;Anmeldung!$J$27,"")</f>
        <v/>
      </c>
      <c r="HB14" t="str">
        <f>IF(AND(20&lt;&gt;37,Anmeldung!$D$27&lt;&gt;"",Anmeldung!$G$27=Anmeldung!$G$44,Anmeldung!$J$27=Anmeldung!$J$44,(Anmeldung!$B$27&amp;": "&amp;Anmeldung!$D$27&amp;", "&amp;Anmeldung!$E$27&amp;" / "&amp;Anmeldung!$G$27&amp;" / "&amp;Anmeldung!$J$27)&lt;&gt;Anmeldung!$P$44),Anmeldung!$B$27&amp;": "&amp;Anmeldung!$D$27&amp;", "&amp;Anmeldung!$E$27&amp;" / "&amp;Anmeldung!$G$27&amp;" / "&amp;Anmeldung!$J$27,"")</f>
        <v/>
      </c>
      <c r="HC14" t="str">
        <f>IF(AND(20&lt;&gt;37,Anmeldung!$D$27&lt;&gt;"",Anmeldung!$G$27=Anmeldung!$G$44,Anmeldung!$J$27=Anmeldung!$J$44,(Anmeldung!$B$27&amp;": "&amp;Anmeldung!$D$27&amp;", "&amp;Anmeldung!$E$27&amp;" / "&amp;Anmeldung!$G$27&amp;" / "&amp;Anmeldung!$J$27)&lt;&gt;Anmeldung!$O$44),Anmeldung!$B$27&amp;": "&amp;Anmeldung!$D$27&amp;", "&amp;Anmeldung!$E$27&amp;" / "&amp;Anmeldung!$G$27&amp;" / "&amp;Anmeldung!$J$27,"")</f>
        <v/>
      </c>
      <c r="HD14" t="str">
        <f>IF(AND(20&lt;&gt;37,Anmeldung!$D$27&lt;&gt;"",Anmeldung!$G$27&lt;&gt;Anmeldung!$G$44,(Anmeldung!$B$27&amp;": "&amp;Anmeldung!$D$27&amp;", "&amp;Anmeldung!$E$27&amp;" / "&amp;Anmeldung!$G$27&amp;" / "&amp;Anmeldung!$J$27)&lt;&gt;Anmeldung!$S$44),Anmeldung!$B$27&amp;": "&amp;Anmeldung!$D$27&amp;", "&amp;Anmeldung!$E$27&amp;" / "&amp;Anmeldung!$G$27&amp;" / "&amp;Anmeldung!$J$27,"")</f>
        <v/>
      </c>
      <c r="HE14" t="str">
        <f>IF(AND(20&lt;&gt;37,Anmeldung!$D$27&lt;&gt;"",(Anmeldung!$B$27&amp;": "&amp;Anmeldung!$D$27&amp;", "&amp;Anmeldung!$E$27&amp;" / "&amp;Anmeldung!$G$27&amp;" / "&amp;Anmeldung!$J$27)&lt;&gt;Anmeldung!$R$44),Anmeldung!$B$27&amp;": "&amp;Anmeldung!$D$27&amp;", "&amp;Anmeldung!$E$27&amp;" / "&amp;Anmeldung!$G$27&amp;" / "&amp;Anmeldung!$J$27,"")</f>
        <v/>
      </c>
      <c r="HF14" t="str">
        <f>IF(AND(19&lt;&gt;36,Anmeldung!$D$27&lt;&gt;"",Anmeldung!$U$27="Ja",Anmeldung!$G$27=Anmeldung!$G$44,Anmeldung!$J$27=Anmeldung!$J$44),Anmeldung!$B$27&amp;": "&amp;Anmeldung!$D$27&amp;", "&amp;Anmeldung!$E$27&amp;" / "&amp;Anmeldung!$G$27&amp;" / "&amp;Anmeldung!$J$27,"")</f>
        <v/>
      </c>
      <c r="HI14" t="str">
        <f>IF(AND(20&lt;&gt;38,Anmeldung!$D$27&lt;&gt;"",Anmeldung!$G$27=Anmeldung!$G$45,Anmeldung!$J$27=Anmeldung!$J$45),Anmeldung!$B$27&amp;": "&amp;Anmeldung!$D$27&amp;", "&amp;Anmeldung!$E$27&amp;" / "&amp;Anmeldung!$G$27&amp;" / "&amp;Anmeldung!$J$27,"")</f>
        <v/>
      </c>
      <c r="HJ14" t="str">
        <f>IF(AND(20&lt;&gt;38,Anmeldung!$D$27&lt;&gt;"",Anmeldung!$G$27=Anmeldung!$G$45,Anmeldung!$J$27=Anmeldung!$J$45,(Anmeldung!$B$27&amp;": "&amp;Anmeldung!$D$27&amp;", "&amp;Anmeldung!$E$27&amp;" / "&amp;Anmeldung!$G$27&amp;" / "&amp;Anmeldung!$J$27)&lt;&gt;Anmeldung!$P$45),Anmeldung!$B$27&amp;": "&amp;Anmeldung!$D$27&amp;", "&amp;Anmeldung!$E$27&amp;" / "&amp;Anmeldung!$G$27&amp;" / "&amp;Anmeldung!$J$27,"")</f>
        <v/>
      </c>
      <c r="HK14" t="str">
        <f>IF(AND(20&lt;&gt;38,Anmeldung!$D$27&lt;&gt;"",Anmeldung!$G$27=Anmeldung!$G$45,Anmeldung!$J$27=Anmeldung!$J$45,(Anmeldung!$B$27&amp;": "&amp;Anmeldung!$D$27&amp;", "&amp;Anmeldung!$E$27&amp;" / "&amp;Anmeldung!$G$27&amp;" / "&amp;Anmeldung!$J$27)&lt;&gt;Anmeldung!$O$45),Anmeldung!$B$27&amp;": "&amp;Anmeldung!$D$27&amp;", "&amp;Anmeldung!$E$27&amp;" / "&amp;Anmeldung!$G$27&amp;" / "&amp;Anmeldung!$J$27,"")</f>
        <v/>
      </c>
      <c r="HL14" t="str">
        <f>IF(AND(20&lt;&gt;38,Anmeldung!$D$27&lt;&gt;"",Anmeldung!$G$27&lt;&gt;Anmeldung!$G$45,(Anmeldung!$B$27&amp;": "&amp;Anmeldung!$D$27&amp;", "&amp;Anmeldung!$E$27&amp;" / "&amp;Anmeldung!$G$27&amp;" / "&amp;Anmeldung!$J$27)&lt;&gt;Anmeldung!$S$45),Anmeldung!$B$27&amp;": "&amp;Anmeldung!$D$27&amp;", "&amp;Anmeldung!$E$27&amp;" / "&amp;Anmeldung!$G$27&amp;" / "&amp;Anmeldung!$J$27,"")</f>
        <v/>
      </c>
      <c r="HM14" t="str">
        <f>IF(AND(20&lt;&gt;38,Anmeldung!$D$27&lt;&gt;"",(Anmeldung!$B$27&amp;": "&amp;Anmeldung!$D$27&amp;", "&amp;Anmeldung!$E$27&amp;" / "&amp;Anmeldung!$G$27&amp;" / "&amp;Anmeldung!$J$27)&lt;&gt;Anmeldung!$R$45),Anmeldung!$B$27&amp;": "&amp;Anmeldung!$D$27&amp;", "&amp;Anmeldung!$E$27&amp;" / "&amp;Anmeldung!$G$27&amp;" / "&amp;Anmeldung!$J$27,"")</f>
        <v/>
      </c>
      <c r="HN14" t="str">
        <f>IF(AND(19&lt;&gt;37,Anmeldung!$D$27&lt;&gt;"",Anmeldung!$U$27="Ja",Anmeldung!$G$27=Anmeldung!$G$45,Anmeldung!$J$27=Anmeldung!$J$45),Anmeldung!$B$27&amp;": "&amp;Anmeldung!$D$27&amp;", "&amp;Anmeldung!$E$27&amp;" / "&amp;Anmeldung!$G$27&amp;" / "&amp;Anmeldung!$J$27,"")</f>
        <v/>
      </c>
      <c r="HQ14" t="str">
        <f>IF(AND(20&lt;&gt;39,Anmeldung!$D$27&lt;&gt;"",Anmeldung!$G$27=Anmeldung!$G$46,Anmeldung!$J$27=Anmeldung!$J$46),Anmeldung!$B$27&amp;": "&amp;Anmeldung!$D$27&amp;", "&amp;Anmeldung!$E$27&amp;" / "&amp;Anmeldung!$G$27&amp;" / "&amp;Anmeldung!$J$27,"")</f>
        <v/>
      </c>
      <c r="HR14" t="str">
        <f>IF(AND(20&lt;&gt;39,Anmeldung!$D$27&lt;&gt;"",Anmeldung!$G$27=Anmeldung!$G$46,Anmeldung!$J$27=Anmeldung!$J$46,(Anmeldung!$B$27&amp;": "&amp;Anmeldung!$D$27&amp;", "&amp;Anmeldung!$E$27&amp;" / "&amp;Anmeldung!$G$27&amp;" / "&amp;Anmeldung!$J$27)&lt;&gt;Anmeldung!$P$46),Anmeldung!$B$27&amp;": "&amp;Anmeldung!$D$27&amp;", "&amp;Anmeldung!$E$27&amp;" / "&amp;Anmeldung!$G$27&amp;" / "&amp;Anmeldung!$J$27,"")</f>
        <v/>
      </c>
      <c r="HS14" t="str">
        <f>IF(AND(20&lt;&gt;39,Anmeldung!$D$27&lt;&gt;"",Anmeldung!$G$27=Anmeldung!$G$46,Anmeldung!$J$27=Anmeldung!$J$46,(Anmeldung!$B$27&amp;": "&amp;Anmeldung!$D$27&amp;", "&amp;Anmeldung!$E$27&amp;" / "&amp;Anmeldung!$G$27&amp;" / "&amp;Anmeldung!$J$27)&lt;&gt;Anmeldung!$O$46),Anmeldung!$B$27&amp;": "&amp;Anmeldung!$D$27&amp;", "&amp;Anmeldung!$E$27&amp;" / "&amp;Anmeldung!$G$27&amp;" / "&amp;Anmeldung!$J$27,"")</f>
        <v/>
      </c>
      <c r="HT14" t="str">
        <f>IF(AND(20&lt;&gt;39,Anmeldung!$D$27&lt;&gt;"",Anmeldung!$G$27&lt;&gt;Anmeldung!$G$46,(Anmeldung!$B$27&amp;": "&amp;Anmeldung!$D$27&amp;", "&amp;Anmeldung!$E$27&amp;" / "&amp;Anmeldung!$G$27&amp;" / "&amp;Anmeldung!$J$27)&lt;&gt;Anmeldung!$S$46),Anmeldung!$B$27&amp;": "&amp;Anmeldung!$D$27&amp;", "&amp;Anmeldung!$E$27&amp;" / "&amp;Anmeldung!$G$27&amp;" / "&amp;Anmeldung!$J$27,"")</f>
        <v/>
      </c>
      <c r="HU14" t="str">
        <f>IF(AND(20&lt;&gt;39,Anmeldung!$D$27&lt;&gt;"",(Anmeldung!$B$27&amp;": "&amp;Anmeldung!$D$27&amp;", "&amp;Anmeldung!$E$27&amp;" / "&amp;Anmeldung!$G$27&amp;" / "&amp;Anmeldung!$J$27)&lt;&gt;Anmeldung!$R$46),Anmeldung!$B$27&amp;": "&amp;Anmeldung!$D$27&amp;", "&amp;Anmeldung!$E$27&amp;" / "&amp;Anmeldung!$G$27&amp;" / "&amp;Anmeldung!$J$27,"")</f>
        <v/>
      </c>
      <c r="HV14" t="str">
        <f>IF(AND(19&lt;&gt;38,Anmeldung!$D$27&lt;&gt;"",Anmeldung!$U$27="Ja",Anmeldung!$G$27=Anmeldung!$G$46,Anmeldung!$J$27=Anmeldung!$J$46),Anmeldung!$B$27&amp;": "&amp;Anmeldung!$D$27&amp;", "&amp;Anmeldung!$E$27&amp;" / "&amp;Anmeldung!$G$27&amp;" / "&amp;Anmeldung!$J$27,"")</f>
        <v/>
      </c>
      <c r="HY14" t="str">
        <f>IF(AND(20&lt;&gt;40,Anmeldung!$D$27&lt;&gt;"",Anmeldung!$G$27=Anmeldung!$G$47,Anmeldung!$J$27=Anmeldung!$J$47),Anmeldung!$B$27&amp;": "&amp;Anmeldung!$D$27&amp;", "&amp;Anmeldung!$E$27&amp;" / "&amp;Anmeldung!$G$27&amp;" / "&amp;Anmeldung!$J$27,"")</f>
        <v/>
      </c>
      <c r="HZ14" t="str">
        <f>IF(AND(20&lt;&gt;40,Anmeldung!$D$27&lt;&gt;"",Anmeldung!$G$27=Anmeldung!$G$47,Anmeldung!$J$27=Anmeldung!$J$47,(Anmeldung!$B$27&amp;": "&amp;Anmeldung!$D$27&amp;", "&amp;Anmeldung!$E$27&amp;" / "&amp;Anmeldung!$G$27&amp;" / "&amp;Anmeldung!$J$27)&lt;&gt;Anmeldung!$P$47),Anmeldung!$B$27&amp;": "&amp;Anmeldung!$D$27&amp;", "&amp;Anmeldung!$E$27&amp;" / "&amp;Anmeldung!$G$27&amp;" / "&amp;Anmeldung!$J$27,"")</f>
        <v/>
      </c>
      <c r="IA14" t="str">
        <f>IF(AND(20&lt;&gt;40,Anmeldung!$D$27&lt;&gt;"",Anmeldung!$G$27=Anmeldung!$G$47,Anmeldung!$J$27=Anmeldung!$J$47,(Anmeldung!$B$27&amp;": "&amp;Anmeldung!$D$27&amp;", "&amp;Anmeldung!$E$27&amp;" / "&amp;Anmeldung!$G$27&amp;" / "&amp;Anmeldung!$J$27)&lt;&gt;Anmeldung!$O$47),Anmeldung!$B$27&amp;": "&amp;Anmeldung!$D$27&amp;", "&amp;Anmeldung!$E$27&amp;" / "&amp;Anmeldung!$G$27&amp;" / "&amp;Anmeldung!$J$27,"")</f>
        <v/>
      </c>
      <c r="IB14" t="str">
        <f>IF(AND(20&lt;&gt;40,Anmeldung!$D$27&lt;&gt;"",Anmeldung!$G$27&lt;&gt;Anmeldung!$G$47,(Anmeldung!$B$27&amp;": "&amp;Anmeldung!$D$27&amp;", "&amp;Anmeldung!$E$27&amp;" / "&amp;Anmeldung!$G$27&amp;" / "&amp;Anmeldung!$J$27)&lt;&gt;Anmeldung!$S$47),Anmeldung!$B$27&amp;": "&amp;Anmeldung!$D$27&amp;", "&amp;Anmeldung!$E$27&amp;" / "&amp;Anmeldung!$G$27&amp;" / "&amp;Anmeldung!$J$27,"")</f>
        <v/>
      </c>
      <c r="IC14" t="str">
        <f>IF(AND(20&lt;&gt;40,Anmeldung!$D$27&lt;&gt;"",(Anmeldung!$B$27&amp;": "&amp;Anmeldung!$D$27&amp;", "&amp;Anmeldung!$E$27&amp;" / "&amp;Anmeldung!$G$27&amp;" / "&amp;Anmeldung!$J$27)&lt;&gt;Anmeldung!$R$47),Anmeldung!$B$27&amp;": "&amp;Anmeldung!$D$27&amp;", "&amp;Anmeldung!$E$27&amp;" / "&amp;Anmeldung!$G$27&amp;" / "&amp;Anmeldung!$J$27,"")</f>
        <v/>
      </c>
      <c r="ID14" t="str">
        <f>IF(AND(19&lt;&gt;39,Anmeldung!$D$27&lt;&gt;"",Anmeldung!$U$27="Ja",Anmeldung!$G$27=Anmeldung!$G$47,Anmeldung!$J$27=Anmeldung!$J$47),Anmeldung!$B$27&amp;": "&amp;Anmeldung!$D$27&amp;", "&amp;Anmeldung!$E$27&amp;" / "&amp;Anmeldung!$G$27&amp;" / "&amp;Anmeldung!$J$27,"")</f>
        <v/>
      </c>
    </row>
    <row r="15" spans="1:238" ht="14.25" customHeight="1" x14ac:dyDescent="0.3">
      <c r="A15" t="str">
        <f>IF(AND(21&lt;&gt;11,Anmeldung!$D$28&lt;&gt;"",Anmeldung!$G$28=Anmeldung!$G$18,Anmeldung!$J$28=Anmeldung!$J$18),Anmeldung!$B$28&amp;": "&amp;Anmeldung!$D$28&amp;", "&amp;Anmeldung!$E$28&amp;" / "&amp;Anmeldung!$G$28&amp;" / "&amp;Anmeldung!$J$28,"")</f>
        <v/>
      </c>
      <c r="B15" t="str">
        <f>IF(AND(21&lt;&gt;11,Anmeldung!$D$28&lt;&gt;"",Anmeldung!$G$28=Anmeldung!$G$18,Anmeldung!$J$28=Anmeldung!$J$18,(Anmeldung!$B$28&amp;": "&amp;Anmeldung!$D$28&amp;", "&amp;Anmeldung!$E$28&amp;" / "&amp;Anmeldung!$G$28&amp;" / "&amp;Anmeldung!$J$28)&lt;&gt;Anmeldung!$P$18),Anmeldung!$B$28&amp;": "&amp;Anmeldung!$D$28&amp;", "&amp;Anmeldung!$E$28&amp;" / "&amp;Anmeldung!$G$28&amp;" / "&amp;Anmeldung!$J$28,"")</f>
        <v/>
      </c>
      <c r="C15" t="str">
        <f>IF(AND(21&lt;&gt;11,Anmeldung!$D$28&lt;&gt;"",Anmeldung!$G$28=Anmeldung!$G$18,Anmeldung!$J$28=Anmeldung!$J$18,(Anmeldung!$B$28&amp;": "&amp;Anmeldung!$D$28&amp;", "&amp;Anmeldung!$E$28&amp;" / "&amp;Anmeldung!$G$28&amp;" / "&amp;Anmeldung!$J$28)&lt;&gt;Anmeldung!$O$18),Anmeldung!$B$28&amp;": "&amp;Anmeldung!$D$28&amp;", "&amp;Anmeldung!$E$28&amp;" / "&amp;Anmeldung!$G$28&amp;" / "&amp;Anmeldung!$J$28,"")</f>
        <v/>
      </c>
      <c r="D15" t="str">
        <f>IF(AND(21&lt;&gt;11,Anmeldung!$D$28&lt;&gt;"",Anmeldung!$G$28&lt;&gt;Anmeldung!$G$18,(Anmeldung!$B$28&amp;": "&amp;Anmeldung!$D$28&amp;", "&amp;Anmeldung!$E$28&amp;" / "&amp;Anmeldung!$G$28&amp;" / "&amp;Anmeldung!$J$28)&lt;&gt;Anmeldung!$S$18),Anmeldung!$B$28&amp;": "&amp;Anmeldung!$D$28&amp;", "&amp;Anmeldung!$E$28&amp;" / "&amp;Anmeldung!$G$28&amp;" / "&amp;Anmeldung!$J$28,"")</f>
        <v/>
      </c>
      <c r="E15" t="str">
        <f>IF(AND(21&lt;&gt;11,Anmeldung!$D$28&lt;&gt;"",(Anmeldung!$B$28&amp;": "&amp;Anmeldung!$D$28&amp;", "&amp;Anmeldung!$E$28&amp;" / "&amp;Anmeldung!$G$28&amp;" / "&amp;Anmeldung!$J$28)&lt;&gt;Anmeldung!$R$18),Anmeldung!$B$28&amp;": "&amp;Anmeldung!$D$28&amp;", "&amp;Anmeldung!$E$28&amp;" / "&amp;Anmeldung!$G$28&amp;" / "&amp;Anmeldung!$J$28,"")</f>
        <v/>
      </c>
      <c r="F15" t="str">
        <f>IF(AND(20&lt;&gt;10,Anmeldung!$D$28&lt;&gt;"",Anmeldung!$U$28="Ja",Anmeldung!$G$28=Anmeldung!$G$18,Anmeldung!$J$28=Anmeldung!$J$18),Anmeldung!$B$28&amp;": "&amp;Anmeldung!$D$28&amp;", "&amp;Anmeldung!$E$28&amp;" / "&amp;Anmeldung!$G$28&amp;" / "&amp;Anmeldung!$J$28,"")</f>
        <v/>
      </c>
      <c r="I15" t="str">
        <f>IF(AND(21&lt;&gt;12,Anmeldung!$D$28&lt;&gt;"",Anmeldung!$G$28=Anmeldung!$G$19,Anmeldung!$J$28=Anmeldung!$J$19),Anmeldung!$B$28&amp;": "&amp;Anmeldung!$D$28&amp;", "&amp;Anmeldung!$E$28&amp;" / "&amp;Anmeldung!$G$28&amp;" / "&amp;Anmeldung!$J$28,"")</f>
        <v/>
      </c>
      <c r="J15" t="str">
        <f>IF(AND(21&lt;&gt;12,Anmeldung!$D$28&lt;&gt;"",Anmeldung!$G$28=Anmeldung!$G$19,Anmeldung!$J$28=Anmeldung!$J$19,(Anmeldung!$B$28&amp;": "&amp;Anmeldung!$D$28&amp;", "&amp;Anmeldung!$E$28&amp;" / "&amp;Anmeldung!$G$28&amp;" / "&amp;Anmeldung!$J$28)&lt;&gt;Anmeldung!$P$19),Anmeldung!$B$28&amp;": "&amp;Anmeldung!$D$28&amp;", "&amp;Anmeldung!$E$28&amp;" / "&amp;Anmeldung!$G$28&amp;" / "&amp;Anmeldung!$J$28,"")</f>
        <v/>
      </c>
      <c r="K15" t="str">
        <f>IF(AND(21&lt;&gt;12,Anmeldung!$D$28&lt;&gt;"",Anmeldung!$G$28=Anmeldung!$G$19,Anmeldung!$J$28=Anmeldung!$J$19,(Anmeldung!$B$28&amp;": "&amp;Anmeldung!$D$28&amp;", "&amp;Anmeldung!$E$28&amp;" / "&amp;Anmeldung!$G$28&amp;" / "&amp;Anmeldung!$J$28)&lt;&gt;Anmeldung!$O$19),Anmeldung!$B$28&amp;": "&amp;Anmeldung!$D$28&amp;", "&amp;Anmeldung!$E$28&amp;" / "&amp;Anmeldung!$G$28&amp;" / "&amp;Anmeldung!$J$28,"")</f>
        <v/>
      </c>
      <c r="L15" t="str">
        <f>IF(AND(21&lt;&gt;12,Anmeldung!$D$28&lt;&gt;"",Anmeldung!$G$28&lt;&gt;Anmeldung!$G$19,(Anmeldung!$B$28&amp;": "&amp;Anmeldung!$D$28&amp;", "&amp;Anmeldung!$E$28&amp;" / "&amp;Anmeldung!$G$28&amp;" / "&amp;Anmeldung!$J$28)&lt;&gt;Anmeldung!$S$19),Anmeldung!$B$28&amp;": "&amp;Anmeldung!$D$28&amp;", "&amp;Anmeldung!$E$28&amp;" / "&amp;Anmeldung!$G$28&amp;" / "&amp;Anmeldung!$J$28,"")</f>
        <v/>
      </c>
      <c r="M15" t="str">
        <f>IF(AND(21&lt;&gt;12,Anmeldung!$D$28&lt;&gt;"",(Anmeldung!$B$28&amp;": "&amp;Anmeldung!$D$28&amp;", "&amp;Anmeldung!$E$28&amp;" / "&amp;Anmeldung!$G$28&amp;" / "&amp;Anmeldung!$J$28)&lt;&gt;Anmeldung!$R$19),Anmeldung!$B$28&amp;": "&amp;Anmeldung!$D$28&amp;", "&amp;Anmeldung!$E$28&amp;" / "&amp;Anmeldung!$G$28&amp;" / "&amp;Anmeldung!$J$28,"")</f>
        <v/>
      </c>
      <c r="N15" t="str">
        <f>IF(AND(20&lt;&gt;11,Anmeldung!$D$28&lt;&gt;"",Anmeldung!$U$28="Ja",Anmeldung!$G$28=Anmeldung!$G$19,Anmeldung!$J$28=Anmeldung!$J$19),Anmeldung!$B$28&amp;": "&amp;Anmeldung!$D$28&amp;", "&amp;Anmeldung!$E$28&amp;" / "&amp;Anmeldung!$G$28&amp;" / "&amp;Anmeldung!$J$28,"")</f>
        <v/>
      </c>
      <c r="Q15" t="str">
        <f>IF(AND(21&lt;&gt;13,Anmeldung!$D$28&lt;&gt;"",Anmeldung!$G$28=Anmeldung!$G$20,Anmeldung!$J$28=Anmeldung!$J$20),Anmeldung!$B$28&amp;": "&amp;Anmeldung!$D$28&amp;", "&amp;Anmeldung!$E$28&amp;" / "&amp;Anmeldung!$G$28&amp;" / "&amp;Anmeldung!$J$28,"")</f>
        <v/>
      </c>
      <c r="R15" t="str">
        <f>IF(AND(21&lt;&gt;13,Anmeldung!$D$28&lt;&gt;"",Anmeldung!$G$28=Anmeldung!$G$20,Anmeldung!$J$28=Anmeldung!$J$20,(Anmeldung!$B$28&amp;": "&amp;Anmeldung!$D$28&amp;", "&amp;Anmeldung!$E$28&amp;" / "&amp;Anmeldung!$G$28&amp;" / "&amp;Anmeldung!$J$28)&lt;&gt;Anmeldung!$P$20),Anmeldung!$B$28&amp;": "&amp;Anmeldung!$D$28&amp;", "&amp;Anmeldung!$E$28&amp;" / "&amp;Anmeldung!$G$28&amp;" / "&amp;Anmeldung!$J$28,"")</f>
        <v/>
      </c>
      <c r="S15" t="str">
        <f>IF(AND(21&lt;&gt;13,Anmeldung!$D$28&lt;&gt;"",Anmeldung!$G$28=Anmeldung!$G$20,Anmeldung!$J$28=Anmeldung!$J$20,(Anmeldung!$B$28&amp;": "&amp;Anmeldung!$D$28&amp;", "&amp;Anmeldung!$E$28&amp;" / "&amp;Anmeldung!$G$28&amp;" / "&amp;Anmeldung!$J$28)&lt;&gt;Anmeldung!$O$20),Anmeldung!$B$28&amp;": "&amp;Anmeldung!$D$28&amp;", "&amp;Anmeldung!$E$28&amp;" / "&amp;Anmeldung!$G$28&amp;" / "&amp;Anmeldung!$J$28,"")</f>
        <v/>
      </c>
      <c r="T15" t="str">
        <f>IF(AND(21&lt;&gt;13,Anmeldung!$D$28&lt;&gt;"",Anmeldung!$G$28&lt;&gt;Anmeldung!$G$20,(Anmeldung!$B$28&amp;": "&amp;Anmeldung!$D$28&amp;", "&amp;Anmeldung!$E$28&amp;" / "&amp;Anmeldung!$G$28&amp;" / "&amp;Anmeldung!$J$28)&lt;&gt;Anmeldung!$S$20),Anmeldung!$B$28&amp;": "&amp;Anmeldung!$D$28&amp;", "&amp;Anmeldung!$E$28&amp;" / "&amp;Anmeldung!$G$28&amp;" / "&amp;Anmeldung!$J$28,"")</f>
        <v/>
      </c>
      <c r="U15" t="str">
        <f>IF(AND(21&lt;&gt;13,Anmeldung!$D$28&lt;&gt;"",(Anmeldung!$B$28&amp;": "&amp;Anmeldung!$D$28&amp;", "&amp;Anmeldung!$E$28&amp;" / "&amp;Anmeldung!$G$28&amp;" / "&amp;Anmeldung!$J$28)&lt;&gt;Anmeldung!$R$20),Anmeldung!$B$28&amp;": "&amp;Anmeldung!$D$28&amp;", "&amp;Anmeldung!$E$28&amp;" / "&amp;Anmeldung!$G$28&amp;" / "&amp;Anmeldung!$J$28,"")</f>
        <v/>
      </c>
      <c r="V15" t="str">
        <f>IF(AND(20&lt;&gt;12,Anmeldung!$D$28&lt;&gt;"",Anmeldung!$U$28="Ja",Anmeldung!$G$28=Anmeldung!$G$20,Anmeldung!$J$28=Anmeldung!$J$20),Anmeldung!$B$28&amp;": "&amp;Anmeldung!$D$28&amp;", "&amp;Anmeldung!$E$28&amp;" / "&amp;Anmeldung!$G$28&amp;" / "&amp;Anmeldung!$J$28,"")</f>
        <v/>
      </c>
      <c r="Y15" t="str">
        <f>IF(AND(21&lt;&gt;14,Anmeldung!$D$28&lt;&gt;"",Anmeldung!$G$28=Anmeldung!$G$21,Anmeldung!$J$28=Anmeldung!$J$21),Anmeldung!$B$28&amp;": "&amp;Anmeldung!$D$28&amp;", "&amp;Anmeldung!$E$28&amp;" / "&amp;Anmeldung!$G$28&amp;" / "&amp;Anmeldung!$J$28,"")</f>
        <v/>
      </c>
      <c r="Z15" t="str">
        <f>IF(AND(21&lt;&gt;14,Anmeldung!$D$28&lt;&gt;"",Anmeldung!$G$28=Anmeldung!$G$21,Anmeldung!$J$28=Anmeldung!$J$21,(Anmeldung!$B$28&amp;": "&amp;Anmeldung!$D$28&amp;", "&amp;Anmeldung!$E$28&amp;" / "&amp;Anmeldung!$G$28&amp;" / "&amp;Anmeldung!$J$28)&lt;&gt;Anmeldung!$P$21),Anmeldung!$B$28&amp;": "&amp;Anmeldung!$D$28&amp;", "&amp;Anmeldung!$E$28&amp;" / "&amp;Anmeldung!$G$28&amp;" / "&amp;Anmeldung!$J$28,"")</f>
        <v/>
      </c>
      <c r="AA15" t="str">
        <f>IF(AND(21&lt;&gt;14,Anmeldung!$D$28&lt;&gt;"",Anmeldung!$G$28=Anmeldung!$G$21,Anmeldung!$J$28=Anmeldung!$J$21,(Anmeldung!$B$28&amp;": "&amp;Anmeldung!$D$28&amp;", "&amp;Anmeldung!$E$28&amp;" / "&amp;Anmeldung!$G$28&amp;" / "&amp;Anmeldung!$J$28)&lt;&gt;Anmeldung!$O$21),Anmeldung!$B$28&amp;": "&amp;Anmeldung!$D$28&amp;", "&amp;Anmeldung!$E$28&amp;" / "&amp;Anmeldung!$G$28&amp;" / "&amp;Anmeldung!$J$28,"")</f>
        <v/>
      </c>
      <c r="AB15" t="str">
        <f>IF(AND(21&lt;&gt;14,Anmeldung!$D$28&lt;&gt;"",Anmeldung!$G$28&lt;&gt;Anmeldung!$G$21,(Anmeldung!$B$28&amp;": "&amp;Anmeldung!$D$28&amp;", "&amp;Anmeldung!$E$28&amp;" / "&amp;Anmeldung!$G$28&amp;" / "&amp;Anmeldung!$J$28)&lt;&gt;Anmeldung!$S$21),Anmeldung!$B$28&amp;": "&amp;Anmeldung!$D$28&amp;", "&amp;Anmeldung!$E$28&amp;" / "&amp;Anmeldung!$G$28&amp;" / "&amp;Anmeldung!$J$28,"")</f>
        <v/>
      </c>
      <c r="AC15" t="str">
        <f>IF(AND(21&lt;&gt;14,Anmeldung!$D$28&lt;&gt;"",(Anmeldung!$B$28&amp;": "&amp;Anmeldung!$D$28&amp;", "&amp;Anmeldung!$E$28&amp;" / "&amp;Anmeldung!$G$28&amp;" / "&amp;Anmeldung!$J$28)&lt;&gt;Anmeldung!$R$21),Anmeldung!$B$28&amp;": "&amp;Anmeldung!$D$28&amp;", "&amp;Anmeldung!$E$28&amp;" / "&amp;Anmeldung!$G$28&amp;" / "&amp;Anmeldung!$J$28,"")</f>
        <v/>
      </c>
      <c r="AD15" t="str">
        <f>IF(AND(20&lt;&gt;13,Anmeldung!$D$28&lt;&gt;"",Anmeldung!$U$28="Ja",Anmeldung!$G$28=Anmeldung!$G$21,Anmeldung!$J$28=Anmeldung!$J$21),Anmeldung!$B$28&amp;": "&amp;Anmeldung!$D$28&amp;", "&amp;Anmeldung!$E$28&amp;" / "&amp;Anmeldung!$G$28&amp;" / "&amp;Anmeldung!$J$28,"")</f>
        <v/>
      </c>
      <c r="AG15" t="str">
        <f>IF(AND(21&lt;&gt;15,Anmeldung!$D$28&lt;&gt;"",Anmeldung!$G$28=Anmeldung!$G$22,Anmeldung!$J$28=Anmeldung!$J$22),Anmeldung!$B$28&amp;": "&amp;Anmeldung!$D$28&amp;", "&amp;Anmeldung!$E$28&amp;" / "&amp;Anmeldung!$G$28&amp;" / "&amp;Anmeldung!$J$28,"")</f>
        <v/>
      </c>
      <c r="AH15" t="str">
        <f>IF(AND(21&lt;&gt;15,Anmeldung!$D$28&lt;&gt;"",Anmeldung!$G$28=Anmeldung!$G$22,Anmeldung!$J$28=Anmeldung!$J$22,(Anmeldung!$B$28&amp;": "&amp;Anmeldung!$D$28&amp;", "&amp;Anmeldung!$E$28&amp;" / "&amp;Anmeldung!$G$28&amp;" / "&amp;Anmeldung!$J$28)&lt;&gt;Anmeldung!$P$22),Anmeldung!$B$28&amp;": "&amp;Anmeldung!$D$28&amp;", "&amp;Anmeldung!$E$28&amp;" / "&amp;Anmeldung!$G$28&amp;" / "&amp;Anmeldung!$J$28,"")</f>
        <v/>
      </c>
      <c r="AI15" t="str">
        <f>IF(AND(21&lt;&gt;15,Anmeldung!$D$28&lt;&gt;"",Anmeldung!$G$28=Anmeldung!$G$22,Anmeldung!$J$28=Anmeldung!$J$22,(Anmeldung!$B$28&amp;": "&amp;Anmeldung!$D$28&amp;", "&amp;Anmeldung!$E$28&amp;" / "&amp;Anmeldung!$G$28&amp;" / "&amp;Anmeldung!$J$28)&lt;&gt;Anmeldung!$O$22),Anmeldung!$B$28&amp;": "&amp;Anmeldung!$D$28&amp;", "&amp;Anmeldung!$E$28&amp;" / "&amp;Anmeldung!$G$28&amp;" / "&amp;Anmeldung!$J$28,"")</f>
        <v/>
      </c>
      <c r="AJ15" t="str">
        <f>IF(AND(21&lt;&gt;15,Anmeldung!$D$28&lt;&gt;"",Anmeldung!$G$28&lt;&gt;Anmeldung!$G$22,(Anmeldung!$B$28&amp;": "&amp;Anmeldung!$D$28&amp;", "&amp;Anmeldung!$E$28&amp;" / "&amp;Anmeldung!$G$28&amp;" / "&amp;Anmeldung!$J$28)&lt;&gt;Anmeldung!$S$22),Anmeldung!$B$28&amp;": "&amp;Anmeldung!$D$28&amp;", "&amp;Anmeldung!$E$28&amp;" / "&amp;Anmeldung!$G$28&amp;" / "&amp;Anmeldung!$J$28,"")</f>
        <v/>
      </c>
      <c r="AK15" t="str">
        <f>IF(AND(21&lt;&gt;15,Anmeldung!$D$28&lt;&gt;"",(Anmeldung!$B$28&amp;": "&amp;Anmeldung!$D$28&amp;", "&amp;Anmeldung!$E$28&amp;" / "&amp;Anmeldung!$G$28&amp;" / "&amp;Anmeldung!$J$28)&lt;&gt;Anmeldung!$R$22),Anmeldung!$B$28&amp;": "&amp;Anmeldung!$D$28&amp;", "&amp;Anmeldung!$E$28&amp;" / "&amp;Anmeldung!$G$28&amp;" / "&amp;Anmeldung!$J$28,"")</f>
        <v/>
      </c>
      <c r="AL15" t="str">
        <f>IF(AND(20&lt;&gt;14,Anmeldung!$D$28&lt;&gt;"",Anmeldung!$U$28="Ja",Anmeldung!$G$28=Anmeldung!$G$22,Anmeldung!$J$28=Anmeldung!$J$22),Anmeldung!$B$28&amp;": "&amp;Anmeldung!$D$28&amp;", "&amp;Anmeldung!$E$28&amp;" / "&amp;Anmeldung!$G$28&amp;" / "&amp;Anmeldung!$J$28,"")</f>
        <v/>
      </c>
      <c r="AO15" t="str">
        <f>IF(AND(21&lt;&gt;16,Anmeldung!$D$28&lt;&gt;"",Anmeldung!$G$28=Anmeldung!$G$23,Anmeldung!$J$28=Anmeldung!$J$23),Anmeldung!$B$28&amp;": "&amp;Anmeldung!$D$28&amp;", "&amp;Anmeldung!$E$28&amp;" / "&amp;Anmeldung!$G$28&amp;" / "&amp;Anmeldung!$J$28,"")</f>
        <v/>
      </c>
      <c r="AP15" t="str">
        <f>IF(AND(21&lt;&gt;16,Anmeldung!$D$28&lt;&gt;"",Anmeldung!$G$28=Anmeldung!$G$23,Anmeldung!$J$28=Anmeldung!$J$23,(Anmeldung!$B$28&amp;": "&amp;Anmeldung!$D$28&amp;", "&amp;Anmeldung!$E$28&amp;" / "&amp;Anmeldung!$G$28&amp;" / "&amp;Anmeldung!$J$28)&lt;&gt;Anmeldung!$P$23),Anmeldung!$B$28&amp;": "&amp;Anmeldung!$D$28&amp;", "&amp;Anmeldung!$E$28&amp;" / "&amp;Anmeldung!$G$28&amp;" / "&amp;Anmeldung!$J$28,"")</f>
        <v/>
      </c>
      <c r="AQ15" t="str">
        <f>IF(AND(21&lt;&gt;16,Anmeldung!$D$28&lt;&gt;"",Anmeldung!$G$28=Anmeldung!$G$23,Anmeldung!$J$28=Anmeldung!$J$23,(Anmeldung!$B$28&amp;": "&amp;Anmeldung!$D$28&amp;", "&amp;Anmeldung!$E$28&amp;" / "&amp;Anmeldung!$G$28&amp;" / "&amp;Anmeldung!$J$28)&lt;&gt;Anmeldung!$O$23),Anmeldung!$B$28&amp;": "&amp;Anmeldung!$D$28&amp;", "&amp;Anmeldung!$E$28&amp;" / "&amp;Anmeldung!$G$28&amp;" / "&amp;Anmeldung!$J$28,"")</f>
        <v/>
      </c>
      <c r="AR15" t="str">
        <f>IF(AND(21&lt;&gt;16,Anmeldung!$D$28&lt;&gt;"",Anmeldung!$G$28&lt;&gt;Anmeldung!$G$23,(Anmeldung!$B$28&amp;": "&amp;Anmeldung!$D$28&amp;", "&amp;Anmeldung!$E$28&amp;" / "&amp;Anmeldung!$G$28&amp;" / "&amp;Anmeldung!$J$28)&lt;&gt;Anmeldung!$S$23),Anmeldung!$B$28&amp;": "&amp;Anmeldung!$D$28&amp;", "&amp;Anmeldung!$E$28&amp;" / "&amp;Anmeldung!$G$28&amp;" / "&amp;Anmeldung!$J$28,"")</f>
        <v/>
      </c>
      <c r="AS15" t="str">
        <f>IF(AND(21&lt;&gt;16,Anmeldung!$D$28&lt;&gt;"",(Anmeldung!$B$28&amp;": "&amp;Anmeldung!$D$28&amp;", "&amp;Anmeldung!$E$28&amp;" / "&amp;Anmeldung!$G$28&amp;" / "&amp;Anmeldung!$J$28)&lt;&gt;Anmeldung!$R$23),Anmeldung!$B$28&amp;": "&amp;Anmeldung!$D$28&amp;", "&amp;Anmeldung!$E$28&amp;" / "&amp;Anmeldung!$G$28&amp;" / "&amp;Anmeldung!$J$28,"")</f>
        <v/>
      </c>
      <c r="AT15" t="str">
        <f>IF(AND(20&lt;&gt;15,Anmeldung!$D$28&lt;&gt;"",Anmeldung!$U$28="Ja",Anmeldung!$G$28=Anmeldung!$G$23,Anmeldung!$J$28=Anmeldung!$J$23),Anmeldung!$B$28&amp;": "&amp;Anmeldung!$D$28&amp;", "&amp;Anmeldung!$E$28&amp;" / "&amp;Anmeldung!$G$28&amp;" / "&amp;Anmeldung!$J$28,"")</f>
        <v/>
      </c>
      <c r="AW15" t="str">
        <f>IF(AND(21&lt;&gt;17,Anmeldung!$D$28&lt;&gt;"",Anmeldung!$G$28=Anmeldung!$G$24,Anmeldung!$J$28=Anmeldung!$J$24),Anmeldung!$B$28&amp;": "&amp;Anmeldung!$D$28&amp;", "&amp;Anmeldung!$E$28&amp;" / "&amp;Anmeldung!$G$28&amp;" / "&amp;Anmeldung!$J$28,"")</f>
        <v/>
      </c>
      <c r="AX15" t="str">
        <f>IF(AND(21&lt;&gt;17,Anmeldung!$D$28&lt;&gt;"",Anmeldung!$G$28=Anmeldung!$G$24,Anmeldung!$J$28=Anmeldung!$J$24,(Anmeldung!$B$28&amp;": "&amp;Anmeldung!$D$28&amp;", "&amp;Anmeldung!$E$28&amp;" / "&amp;Anmeldung!$G$28&amp;" / "&amp;Anmeldung!$J$28)&lt;&gt;Anmeldung!$P$24),Anmeldung!$B$28&amp;": "&amp;Anmeldung!$D$28&amp;", "&amp;Anmeldung!$E$28&amp;" / "&amp;Anmeldung!$G$28&amp;" / "&amp;Anmeldung!$J$28,"")</f>
        <v/>
      </c>
      <c r="AY15" t="str">
        <f>IF(AND(21&lt;&gt;17,Anmeldung!$D$28&lt;&gt;"",Anmeldung!$G$28=Anmeldung!$G$24,Anmeldung!$J$28=Anmeldung!$J$24,(Anmeldung!$B$28&amp;": "&amp;Anmeldung!$D$28&amp;", "&amp;Anmeldung!$E$28&amp;" / "&amp;Anmeldung!$G$28&amp;" / "&amp;Anmeldung!$J$28)&lt;&gt;Anmeldung!$O$24),Anmeldung!$B$28&amp;": "&amp;Anmeldung!$D$28&amp;", "&amp;Anmeldung!$E$28&amp;" / "&amp;Anmeldung!$G$28&amp;" / "&amp;Anmeldung!$J$28,"")</f>
        <v/>
      </c>
      <c r="AZ15" t="str">
        <f>IF(AND(21&lt;&gt;17,Anmeldung!$D$28&lt;&gt;"",Anmeldung!$G$28&lt;&gt;Anmeldung!$G$24,(Anmeldung!$B$28&amp;": "&amp;Anmeldung!$D$28&amp;", "&amp;Anmeldung!$E$28&amp;" / "&amp;Anmeldung!$G$28&amp;" / "&amp;Anmeldung!$J$28)&lt;&gt;Anmeldung!$S$24),Anmeldung!$B$28&amp;": "&amp;Anmeldung!$D$28&amp;", "&amp;Anmeldung!$E$28&amp;" / "&amp;Anmeldung!$G$28&amp;" / "&amp;Anmeldung!$J$28,"")</f>
        <v/>
      </c>
      <c r="BA15" t="str">
        <f>IF(AND(21&lt;&gt;17,Anmeldung!$D$28&lt;&gt;"",(Anmeldung!$B$28&amp;": "&amp;Anmeldung!$D$28&amp;", "&amp;Anmeldung!$E$28&amp;" / "&amp;Anmeldung!$G$28&amp;" / "&amp;Anmeldung!$J$28)&lt;&gt;Anmeldung!$R$24),Anmeldung!$B$28&amp;": "&amp;Anmeldung!$D$28&amp;", "&amp;Anmeldung!$E$28&amp;" / "&amp;Anmeldung!$G$28&amp;" / "&amp;Anmeldung!$J$28,"")</f>
        <v/>
      </c>
      <c r="BB15" t="str">
        <f>IF(AND(20&lt;&gt;16,Anmeldung!$D$28&lt;&gt;"",Anmeldung!$U$28="Ja",Anmeldung!$G$28=Anmeldung!$G$24,Anmeldung!$J$28=Anmeldung!$J$24),Anmeldung!$B$28&amp;": "&amp;Anmeldung!$D$28&amp;", "&amp;Anmeldung!$E$28&amp;" / "&amp;Anmeldung!$G$28&amp;" / "&amp;Anmeldung!$J$28,"")</f>
        <v/>
      </c>
      <c r="BE15" t="str">
        <f>IF(AND(21&lt;&gt;18,Anmeldung!$D$28&lt;&gt;"",Anmeldung!$G$28=Anmeldung!$G$25,Anmeldung!$J$28=Anmeldung!$J$25),Anmeldung!$B$28&amp;": "&amp;Anmeldung!$D$28&amp;", "&amp;Anmeldung!$E$28&amp;" / "&amp;Anmeldung!$G$28&amp;" / "&amp;Anmeldung!$J$28,"")</f>
        <v/>
      </c>
      <c r="BF15" t="str">
        <f>IF(AND(21&lt;&gt;18,Anmeldung!$D$28&lt;&gt;"",Anmeldung!$G$28=Anmeldung!$G$25,Anmeldung!$J$28=Anmeldung!$J$25,(Anmeldung!$B$28&amp;": "&amp;Anmeldung!$D$28&amp;", "&amp;Anmeldung!$E$28&amp;" / "&amp;Anmeldung!$G$28&amp;" / "&amp;Anmeldung!$J$28)&lt;&gt;Anmeldung!$P$25),Anmeldung!$B$28&amp;": "&amp;Anmeldung!$D$28&amp;", "&amp;Anmeldung!$E$28&amp;" / "&amp;Anmeldung!$G$28&amp;" / "&amp;Anmeldung!$J$28,"")</f>
        <v/>
      </c>
      <c r="BG15" t="str">
        <f>IF(AND(21&lt;&gt;18,Anmeldung!$D$28&lt;&gt;"",Anmeldung!$G$28=Anmeldung!$G$25,Anmeldung!$J$28=Anmeldung!$J$25,(Anmeldung!$B$28&amp;": "&amp;Anmeldung!$D$28&amp;", "&amp;Anmeldung!$E$28&amp;" / "&amp;Anmeldung!$G$28&amp;" / "&amp;Anmeldung!$J$28)&lt;&gt;Anmeldung!$O$25),Anmeldung!$B$28&amp;": "&amp;Anmeldung!$D$28&amp;", "&amp;Anmeldung!$E$28&amp;" / "&amp;Anmeldung!$G$28&amp;" / "&amp;Anmeldung!$J$28,"")</f>
        <v/>
      </c>
      <c r="BH15" t="str">
        <f>IF(AND(21&lt;&gt;18,Anmeldung!$D$28&lt;&gt;"",Anmeldung!$G$28&lt;&gt;Anmeldung!$G$25,(Anmeldung!$B$28&amp;": "&amp;Anmeldung!$D$28&amp;", "&amp;Anmeldung!$E$28&amp;" / "&amp;Anmeldung!$G$28&amp;" / "&amp;Anmeldung!$J$28)&lt;&gt;Anmeldung!$S$25),Anmeldung!$B$28&amp;": "&amp;Anmeldung!$D$28&amp;", "&amp;Anmeldung!$E$28&amp;" / "&amp;Anmeldung!$G$28&amp;" / "&amp;Anmeldung!$J$28,"")</f>
        <v/>
      </c>
      <c r="BI15" t="str">
        <f>IF(AND(21&lt;&gt;18,Anmeldung!$D$28&lt;&gt;"",(Anmeldung!$B$28&amp;": "&amp;Anmeldung!$D$28&amp;", "&amp;Anmeldung!$E$28&amp;" / "&amp;Anmeldung!$G$28&amp;" / "&amp;Anmeldung!$J$28)&lt;&gt;Anmeldung!$R$25),Anmeldung!$B$28&amp;": "&amp;Anmeldung!$D$28&amp;", "&amp;Anmeldung!$E$28&amp;" / "&amp;Anmeldung!$G$28&amp;" / "&amp;Anmeldung!$J$28,"")</f>
        <v/>
      </c>
      <c r="BJ15" t="str">
        <f>IF(AND(20&lt;&gt;17,Anmeldung!$D$28&lt;&gt;"",Anmeldung!$U$28="Ja",Anmeldung!$G$28=Anmeldung!$G$25,Anmeldung!$J$28=Anmeldung!$J$25),Anmeldung!$B$28&amp;": "&amp;Anmeldung!$D$28&amp;", "&amp;Anmeldung!$E$28&amp;" / "&amp;Anmeldung!$G$28&amp;" / "&amp;Anmeldung!$J$28,"")</f>
        <v/>
      </c>
      <c r="BM15" t="str">
        <f>IF(AND(21&lt;&gt;19,Anmeldung!$D$28&lt;&gt;"",Anmeldung!$G$28=Anmeldung!$G$26,Anmeldung!$J$28=Anmeldung!$J$26),Anmeldung!$B$28&amp;": "&amp;Anmeldung!$D$28&amp;", "&amp;Anmeldung!$E$28&amp;" / "&amp;Anmeldung!$G$28&amp;" / "&amp;Anmeldung!$J$28,"")</f>
        <v/>
      </c>
      <c r="BN15" t="str">
        <f>IF(AND(21&lt;&gt;19,Anmeldung!$D$28&lt;&gt;"",Anmeldung!$G$28=Anmeldung!$G$26,Anmeldung!$J$28=Anmeldung!$J$26,(Anmeldung!$B$28&amp;": "&amp;Anmeldung!$D$28&amp;", "&amp;Anmeldung!$E$28&amp;" / "&amp;Anmeldung!$G$28&amp;" / "&amp;Anmeldung!$J$28)&lt;&gt;Anmeldung!$P$26),Anmeldung!$B$28&amp;": "&amp;Anmeldung!$D$28&amp;", "&amp;Anmeldung!$E$28&amp;" / "&amp;Anmeldung!$G$28&amp;" / "&amp;Anmeldung!$J$28,"")</f>
        <v/>
      </c>
      <c r="BO15" t="str">
        <f>IF(AND(21&lt;&gt;19,Anmeldung!$D$28&lt;&gt;"",Anmeldung!$G$28=Anmeldung!$G$26,Anmeldung!$J$28=Anmeldung!$J$26,(Anmeldung!$B$28&amp;": "&amp;Anmeldung!$D$28&amp;", "&amp;Anmeldung!$E$28&amp;" / "&amp;Anmeldung!$G$28&amp;" / "&amp;Anmeldung!$J$28)&lt;&gt;Anmeldung!$O$26),Anmeldung!$B$28&amp;": "&amp;Anmeldung!$D$28&amp;", "&amp;Anmeldung!$E$28&amp;" / "&amp;Anmeldung!$G$28&amp;" / "&amp;Anmeldung!$J$28,"")</f>
        <v/>
      </c>
      <c r="BP15" t="str">
        <f>IF(AND(21&lt;&gt;19,Anmeldung!$D$28&lt;&gt;"",Anmeldung!$G$28&lt;&gt;Anmeldung!$G$26,(Anmeldung!$B$28&amp;": "&amp;Anmeldung!$D$28&amp;", "&amp;Anmeldung!$E$28&amp;" / "&amp;Anmeldung!$G$28&amp;" / "&amp;Anmeldung!$J$28)&lt;&gt;Anmeldung!$S$26),Anmeldung!$B$28&amp;": "&amp;Anmeldung!$D$28&amp;", "&amp;Anmeldung!$E$28&amp;" / "&amp;Anmeldung!$G$28&amp;" / "&amp;Anmeldung!$J$28,"")</f>
        <v/>
      </c>
      <c r="BQ15" t="str">
        <f>IF(AND(21&lt;&gt;19,Anmeldung!$D$28&lt;&gt;"",(Anmeldung!$B$28&amp;": "&amp;Anmeldung!$D$28&amp;", "&amp;Anmeldung!$E$28&amp;" / "&amp;Anmeldung!$G$28&amp;" / "&amp;Anmeldung!$J$28)&lt;&gt;Anmeldung!$R$26),Anmeldung!$B$28&amp;": "&amp;Anmeldung!$D$28&amp;", "&amp;Anmeldung!$E$28&amp;" / "&amp;Anmeldung!$G$28&amp;" / "&amp;Anmeldung!$J$28,"")</f>
        <v/>
      </c>
      <c r="BR15" t="str">
        <f>IF(AND(20&lt;&gt;18,Anmeldung!$D$28&lt;&gt;"",Anmeldung!$U$28="Ja",Anmeldung!$G$28=Anmeldung!$G$26,Anmeldung!$J$28=Anmeldung!$J$26),Anmeldung!$B$28&amp;": "&amp;Anmeldung!$D$28&amp;", "&amp;Anmeldung!$E$28&amp;" / "&amp;Anmeldung!$G$28&amp;" / "&amp;Anmeldung!$J$28,"")</f>
        <v/>
      </c>
      <c r="BU15" t="str">
        <f>IF(AND(21&lt;&gt;20,Anmeldung!$D$28&lt;&gt;"",Anmeldung!$G$28=Anmeldung!$G$27,Anmeldung!$J$28=Anmeldung!$J$27),Anmeldung!$B$28&amp;": "&amp;Anmeldung!$D$28&amp;", "&amp;Anmeldung!$E$28&amp;" / "&amp;Anmeldung!$G$28&amp;" / "&amp;Anmeldung!$J$28,"")</f>
        <v/>
      </c>
      <c r="BV15" t="str">
        <f>IF(AND(21&lt;&gt;20,Anmeldung!$D$28&lt;&gt;"",Anmeldung!$G$28=Anmeldung!$G$27,Anmeldung!$J$28=Anmeldung!$J$27,(Anmeldung!$B$28&amp;": "&amp;Anmeldung!$D$28&amp;", "&amp;Anmeldung!$E$28&amp;" / "&amp;Anmeldung!$G$28&amp;" / "&amp;Anmeldung!$J$28)&lt;&gt;Anmeldung!$P$27),Anmeldung!$B$28&amp;": "&amp;Anmeldung!$D$28&amp;", "&amp;Anmeldung!$E$28&amp;" / "&amp;Anmeldung!$G$28&amp;" / "&amp;Anmeldung!$J$28,"")</f>
        <v/>
      </c>
      <c r="BW15" t="str">
        <f>IF(AND(21&lt;&gt;20,Anmeldung!$D$28&lt;&gt;"",Anmeldung!$G$28=Anmeldung!$G$27,Anmeldung!$J$28=Anmeldung!$J$27,(Anmeldung!$B$28&amp;": "&amp;Anmeldung!$D$28&amp;", "&amp;Anmeldung!$E$28&amp;" / "&amp;Anmeldung!$G$28&amp;" / "&amp;Anmeldung!$J$28)&lt;&gt;Anmeldung!$O$27),Anmeldung!$B$28&amp;": "&amp;Anmeldung!$D$28&amp;", "&amp;Anmeldung!$E$28&amp;" / "&amp;Anmeldung!$G$28&amp;" / "&amp;Anmeldung!$J$28,"")</f>
        <v/>
      </c>
      <c r="BX15" t="str">
        <f>IF(AND(21&lt;&gt;20,Anmeldung!$D$28&lt;&gt;"",Anmeldung!$G$28&lt;&gt;Anmeldung!$G$27,(Anmeldung!$B$28&amp;": "&amp;Anmeldung!$D$28&amp;", "&amp;Anmeldung!$E$28&amp;" / "&amp;Anmeldung!$G$28&amp;" / "&amp;Anmeldung!$J$28)&lt;&gt;Anmeldung!$S$27),Anmeldung!$B$28&amp;": "&amp;Anmeldung!$D$28&amp;", "&amp;Anmeldung!$E$28&amp;" / "&amp;Anmeldung!$G$28&amp;" / "&amp;Anmeldung!$J$28,"")</f>
        <v/>
      </c>
      <c r="BY15" t="str">
        <f>IF(AND(21&lt;&gt;20,Anmeldung!$D$28&lt;&gt;"",(Anmeldung!$B$28&amp;": "&amp;Anmeldung!$D$28&amp;", "&amp;Anmeldung!$E$28&amp;" / "&amp;Anmeldung!$G$28&amp;" / "&amp;Anmeldung!$J$28)&lt;&gt;Anmeldung!$R$27),Anmeldung!$B$28&amp;": "&amp;Anmeldung!$D$28&amp;", "&amp;Anmeldung!$E$28&amp;" / "&amp;Anmeldung!$G$28&amp;" / "&amp;Anmeldung!$J$28,"")</f>
        <v/>
      </c>
      <c r="BZ15" t="str">
        <f>IF(AND(20&lt;&gt;19,Anmeldung!$D$28&lt;&gt;"",Anmeldung!$U$28="Ja",Anmeldung!$G$28=Anmeldung!$G$27,Anmeldung!$J$28=Anmeldung!$J$27),Anmeldung!$B$28&amp;": "&amp;Anmeldung!$D$28&amp;", "&amp;Anmeldung!$E$28&amp;" / "&amp;Anmeldung!$G$28&amp;" / "&amp;Anmeldung!$J$28,"")</f>
        <v/>
      </c>
      <c r="CC15" t="str">
        <f>IF(AND(21&lt;&gt;21,Anmeldung!$D$28&lt;&gt;"",Anmeldung!$G$28=Anmeldung!$G$28,Anmeldung!$J$28=Anmeldung!$J$28),Anmeldung!$B$28&amp;": "&amp;Anmeldung!$D$28&amp;", "&amp;Anmeldung!$E$28&amp;" / "&amp;Anmeldung!$G$28&amp;" / "&amp;Anmeldung!$J$28,"")</f>
        <v/>
      </c>
      <c r="CD15" t="str">
        <f>IF(AND(21&lt;&gt;21,Anmeldung!$D$28&lt;&gt;"",Anmeldung!$G$28=Anmeldung!$G$28,Anmeldung!$J$28=Anmeldung!$J$28,(Anmeldung!$B$28&amp;": "&amp;Anmeldung!$D$28&amp;", "&amp;Anmeldung!$E$28&amp;" / "&amp;Anmeldung!$G$28&amp;" / "&amp;Anmeldung!$J$28)&lt;&gt;Anmeldung!$P$28),Anmeldung!$B$28&amp;": "&amp;Anmeldung!$D$28&amp;", "&amp;Anmeldung!$E$28&amp;" / "&amp;Anmeldung!$G$28&amp;" / "&amp;Anmeldung!$J$28,"")</f>
        <v/>
      </c>
      <c r="CE15" t="str">
        <f>IF(AND(21&lt;&gt;21,Anmeldung!$D$28&lt;&gt;"",Anmeldung!$G$28=Anmeldung!$G$28,Anmeldung!$J$28=Anmeldung!$J$28,(Anmeldung!$B$28&amp;": "&amp;Anmeldung!$D$28&amp;", "&amp;Anmeldung!$E$28&amp;" / "&amp;Anmeldung!$G$28&amp;" / "&amp;Anmeldung!$J$28)&lt;&gt;Anmeldung!$O$28),Anmeldung!$B$28&amp;": "&amp;Anmeldung!$D$28&amp;", "&amp;Anmeldung!$E$28&amp;" / "&amp;Anmeldung!$G$28&amp;" / "&amp;Anmeldung!$J$28,"")</f>
        <v/>
      </c>
      <c r="CF15" t="str">
        <f>IF(AND(21&lt;&gt;21,Anmeldung!$D$28&lt;&gt;"",Anmeldung!$G$28&lt;&gt;Anmeldung!$G$28,(Anmeldung!$B$28&amp;": "&amp;Anmeldung!$D$28&amp;", "&amp;Anmeldung!$E$28&amp;" / "&amp;Anmeldung!$G$28&amp;" / "&amp;Anmeldung!$J$28)&lt;&gt;Anmeldung!$S$28),Anmeldung!$B$28&amp;": "&amp;Anmeldung!$D$28&amp;", "&amp;Anmeldung!$E$28&amp;" / "&amp;Anmeldung!$G$28&amp;" / "&amp;Anmeldung!$J$28,"")</f>
        <v/>
      </c>
      <c r="CG15" t="str">
        <f>IF(AND(21&lt;&gt;21,Anmeldung!$D$28&lt;&gt;"",(Anmeldung!$B$28&amp;": "&amp;Anmeldung!$D$28&amp;", "&amp;Anmeldung!$E$28&amp;" / "&amp;Anmeldung!$G$28&amp;" / "&amp;Anmeldung!$J$28)&lt;&gt;Anmeldung!$R$28),Anmeldung!$B$28&amp;": "&amp;Anmeldung!$D$28&amp;", "&amp;Anmeldung!$E$28&amp;" / "&amp;Anmeldung!$G$28&amp;" / "&amp;Anmeldung!$J$28,"")</f>
        <v/>
      </c>
      <c r="CH15" t="str">
        <f>IF(AND(20&lt;&gt;20,Anmeldung!$D$28&lt;&gt;"",Anmeldung!$U$28="Ja",Anmeldung!$G$28=Anmeldung!$G$28,Anmeldung!$J$28=Anmeldung!$J$28),Anmeldung!$B$28&amp;": "&amp;Anmeldung!$D$28&amp;", "&amp;Anmeldung!$E$28&amp;" / "&amp;Anmeldung!$G$28&amp;" / "&amp;Anmeldung!$J$28,"")</f>
        <v/>
      </c>
      <c r="CK15" t="str">
        <f>IF(AND(21&lt;&gt;22,Anmeldung!$D$28&lt;&gt;"",Anmeldung!$G$28=Anmeldung!$G$29,Anmeldung!$J$28=Anmeldung!$J$29),Anmeldung!$B$28&amp;": "&amp;Anmeldung!$D$28&amp;", "&amp;Anmeldung!$E$28&amp;" / "&amp;Anmeldung!$G$28&amp;" / "&amp;Anmeldung!$J$28,"")</f>
        <v/>
      </c>
      <c r="CL15" t="str">
        <f>IF(AND(21&lt;&gt;22,Anmeldung!$D$28&lt;&gt;"",Anmeldung!$G$28=Anmeldung!$G$29,Anmeldung!$J$28=Anmeldung!$J$29,(Anmeldung!$B$28&amp;": "&amp;Anmeldung!$D$28&amp;", "&amp;Anmeldung!$E$28&amp;" / "&amp;Anmeldung!$G$28&amp;" / "&amp;Anmeldung!$J$28)&lt;&gt;Anmeldung!$P$29),Anmeldung!$B$28&amp;": "&amp;Anmeldung!$D$28&amp;", "&amp;Anmeldung!$E$28&amp;" / "&amp;Anmeldung!$G$28&amp;" / "&amp;Anmeldung!$J$28,"")</f>
        <v/>
      </c>
      <c r="CM15" t="str">
        <f>IF(AND(21&lt;&gt;22,Anmeldung!$D$28&lt;&gt;"",Anmeldung!$G$28=Anmeldung!$G$29,Anmeldung!$J$28=Anmeldung!$J$29,(Anmeldung!$B$28&amp;": "&amp;Anmeldung!$D$28&amp;", "&amp;Anmeldung!$E$28&amp;" / "&amp;Anmeldung!$G$28&amp;" / "&amp;Anmeldung!$J$28)&lt;&gt;Anmeldung!$O$29),Anmeldung!$B$28&amp;": "&amp;Anmeldung!$D$28&amp;", "&amp;Anmeldung!$E$28&amp;" / "&amp;Anmeldung!$G$28&amp;" / "&amp;Anmeldung!$J$28,"")</f>
        <v/>
      </c>
      <c r="CN15" t="str">
        <f>IF(AND(21&lt;&gt;22,Anmeldung!$D$28&lt;&gt;"",Anmeldung!$G$28&lt;&gt;Anmeldung!$G$29,(Anmeldung!$B$28&amp;": "&amp;Anmeldung!$D$28&amp;", "&amp;Anmeldung!$E$28&amp;" / "&amp;Anmeldung!$G$28&amp;" / "&amp;Anmeldung!$J$28)&lt;&gt;Anmeldung!$S$29),Anmeldung!$B$28&amp;": "&amp;Anmeldung!$D$28&amp;", "&amp;Anmeldung!$E$28&amp;" / "&amp;Anmeldung!$G$28&amp;" / "&amp;Anmeldung!$J$28,"")</f>
        <v/>
      </c>
      <c r="CO15" t="str">
        <f>IF(AND(21&lt;&gt;22,Anmeldung!$D$28&lt;&gt;"",(Anmeldung!$B$28&amp;": "&amp;Anmeldung!$D$28&amp;", "&amp;Anmeldung!$E$28&amp;" / "&amp;Anmeldung!$G$28&amp;" / "&amp;Anmeldung!$J$28)&lt;&gt;Anmeldung!$R$29),Anmeldung!$B$28&amp;": "&amp;Anmeldung!$D$28&amp;", "&amp;Anmeldung!$E$28&amp;" / "&amp;Anmeldung!$G$28&amp;" / "&amp;Anmeldung!$J$28,"")</f>
        <v/>
      </c>
      <c r="CP15" t="str">
        <f>IF(AND(20&lt;&gt;21,Anmeldung!$D$28&lt;&gt;"",Anmeldung!$U$28="Ja",Anmeldung!$G$28=Anmeldung!$G$29,Anmeldung!$J$28=Anmeldung!$J$29),Anmeldung!$B$28&amp;": "&amp;Anmeldung!$D$28&amp;", "&amp;Anmeldung!$E$28&amp;" / "&amp;Anmeldung!$G$28&amp;" / "&amp;Anmeldung!$J$28,"")</f>
        <v/>
      </c>
      <c r="CS15" t="str">
        <f>IF(AND(21&lt;&gt;23,Anmeldung!$D$28&lt;&gt;"",Anmeldung!$G$28=Anmeldung!$G$30,Anmeldung!$J$28=Anmeldung!$J$30),Anmeldung!$B$28&amp;": "&amp;Anmeldung!$D$28&amp;", "&amp;Anmeldung!$E$28&amp;" / "&amp;Anmeldung!$G$28&amp;" / "&amp;Anmeldung!$J$28,"")</f>
        <v/>
      </c>
      <c r="CT15" t="str">
        <f>IF(AND(21&lt;&gt;23,Anmeldung!$D$28&lt;&gt;"",Anmeldung!$G$28=Anmeldung!$G$30,Anmeldung!$J$28=Anmeldung!$J$30,(Anmeldung!$B$28&amp;": "&amp;Anmeldung!$D$28&amp;", "&amp;Anmeldung!$E$28&amp;" / "&amp;Anmeldung!$G$28&amp;" / "&amp;Anmeldung!$J$28)&lt;&gt;Anmeldung!$P$30),Anmeldung!$B$28&amp;": "&amp;Anmeldung!$D$28&amp;", "&amp;Anmeldung!$E$28&amp;" / "&amp;Anmeldung!$G$28&amp;" / "&amp;Anmeldung!$J$28,"")</f>
        <v/>
      </c>
      <c r="CU15" t="str">
        <f>IF(AND(21&lt;&gt;23,Anmeldung!$D$28&lt;&gt;"",Anmeldung!$G$28=Anmeldung!$G$30,Anmeldung!$J$28=Anmeldung!$J$30,(Anmeldung!$B$28&amp;": "&amp;Anmeldung!$D$28&amp;", "&amp;Anmeldung!$E$28&amp;" / "&amp;Anmeldung!$G$28&amp;" / "&amp;Anmeldung!$J$28)&lt;&gt;Anmeldung!$O$30),Anmeldung!$B$28&amp;": "&amp;Anmeldung!$D$28&amp;", "&amp;Anmeldung!$E$28&amp;" / "&amp;Anmeldung!$G$28&amp;" / "&amp;Anmeldung!$J$28,"")</f>
        <v/>
      </c>
      <c r="CV15" t="str">
        <f>IF(AND(21&lt;&gt;23,Anmeldung!$D$28&lt;&gt;"",Anmeldung!$G$28&lt;&gt;Anmeldung!$G$30,(Anmeldung!$B$28&amp;": "&amp;Anmeldung!$D$28&amp;", "&amp;Anmeldung!$E$28&amp;" / "&amp;Anmeldung!$G$28&amp;" / "&amp;Anmeldung!$J$28)&lt;&gt;Anmeldung!$S$30),Anmeldung!$B$28&amp;": "&amp;Anmeldung!$D$28&amp;", "&amp;Anmeldung!$E$28&amp;" / "&amp;Anmeldung!$G$28&amp;" / "&amp;Anmeldung!$J$28,"")</f>
        <v/>
      </c>
      <c r="CW15" t="str">
        <f>IF(AND(21&lt;&gt;23,Anmeldung!$D$28&lt;&gt;"",(Anmeldung!$B$28&amp;": "&amp;Anmeldung!$D$28&amp;", "&amp;Anmeldung!$E$28&amp;" / "&amp;Anmeldung!$G$28&amp;" / "&amp;Anmeldung!$J$28)&lt;&gt;Anmeldung!$R$30),Anmeldung!$B$28&amp;": "&amp;Anmeldung!$D$28&amp;", "&amp;Anmeldung!$E$28&amp;" / "&amp;Anmeldung!$G$28&amp;" / "&amp;Anmeldung!$J$28,"")</f>
        <v/>
      </c>
      <c r="CX15" t="str">
        <f>IF(AND(20&lt;&gt;22,Anmeldung!$D$28&lt;&gt;"",Anmeldung!$U$28="Ja",Anmeldung!$G$28=Anmeldung!$G$30,Anmeldung!$J$28=Anmeldung!$J$30),Anmeldung!$B$28&amp;": "&amp;Anmeldung!$D$28&amp;", "&amp;Anmeldung!$E$28&amp;" / "&amp;Anmeldung!$G$28&amp;" / "&amp;Anmeldung!$J$28,"")</f>
        <v/>
      </c>
      <c r="DA15" t="str">
        <f>IF(AND(21&lt;&gt;24,Anmeldung!$D$28&lt;&gt;"",Anmeldung!$G$28=Anmeldung!$G$31,Anmeldung!$J$28=Anmeldung!$J$31),Anmeldung!$B$28&amp;": "&amp;Anmeldung!$D$28&amp;", "&amp;Anmeldung!$E$28&amp;" / "&amp;Anmeldung!$G$28&amp;" / "&amp;Anmeldung!$J$28,"")</f>
        <v/>
      </c>
      <c r="DB15" t="str">
        <f>IF(AND(21&lt;&gt;24,Anmeldung!$D$28&lt;&gt;"",Anmeldung!$G$28=Anmeldung!$G$31,Anmeldung!$J$28=Anmeldung!$J$31,(Anmeldung!$B$28&amp;": "&amp;Anmeldung!$D$28&amp;", "&amp;Anmeldung!$E$28&amp;" / "&amp;Anmeldung!$G$28&amp;" / "&amp;Anmeldung!$J$28)&lt;&gt;Anmeldung!$P$31),Anmeldung!$B$28&amp;": "&amp;Anmeldung!$D$28&amp;", "&amp;Anmeldung!$E$28&amp;" / "&amp;Anmeldung!$G$28&amp;" / "&amp;Anmeldung!$J$28,"")</f>
        <v/>
      </c>
      <c r="DC15" t="str">
        <f>IF(AND(21&lt;&gt;24,Anmeldung!$D$28&lt;&gt;"",Anmeldung!$G$28=Anmeldung!$G$31,Anmeldung!$J$28=Anmeldung!$J$31,(Anmeldung!$B$28&amp;": "&amp;Anmeldung!$D$28&amp;", "&amp;Anmeldung!$E$28&amp;" / "&amp;Anmeldung!$G$28&amp;" / "&amp;Anmeldung!$J$28)&lt;&gt;Anmeldung!$O$31),Anmeldung!$B$28&amp;": "&amp;Anmeldung!$D$28&amp;", "&amp;Anmeldung!$E$28&amp;" / "&amp;Anmeldung!$G$28&amp;" / "&amp;Anmeldung!$J$28,"")</f>
        <v/>
      </c>
      <c r="DD15" t="str">
        <f>IF(AND(21&lt;&gt;24,Anmeldung!$D$28&lt;&gt;"",Anmeldung!$G$28&lt;&gt;Anmeldung!$G$31,(Anmeldung!$B$28&amp;": "&amp;Anmeldung!$D$28&amp;", "&amp;Anmeldung!$E$28&amp;" / "&amp;Anmeldung!$G$28&amp;" / "&amp;Anmeldung!$J$28)&lt;&gt;Anmeldung!$S$31),Anmeldung!$B$28&amp;": "&amp;Anmeldung!$D$28&amp;", "&amp;Anmeldung!$E$28&amp;" / "&amp;Anmeldung!$G$28&amp;" / "&amp;Anmeldung!$J$28,"")</f>
        <v/>
      </c>
      <c r="DE15" t="str">
        <f>IF(AND(21&lt;&gt;24,Anmeldung!$D$28&lt;&gt;"",(Anmeldung!$B$28&amp;": "&amp;Anmeldung!$D$28&amp;", "&amp;Anmeldung!$E$28&amp;" / "&amp;Anmeldung!$G$28&amp;" / "&amp;Anmeldung!$J$28)&lt;&gt;Anmeldung!$R$31),Anmeldung!$B$28&amp;": "&amp;Anmeldung!$D$28&amp;", "&amp;Anmeldung!$E$28&amp;" / "&amp;Anmeldung!$G$28&amp;" / "&amp;Anmeldung!$J$28,"")</f>
        <v/>
      </c>
      <c r="DF15" t="str">
        <f>IF(AND(20&lt;&gt;23,Anmeldung!$D$28&lt;&gt;"",Anmeldung!$U$28="Ja",Anmeldung!$G$28=Anmeldung!$G$31,Anmeldung!$J$28=Anmeldung!$J$31),Anmeldung!$B$28&amp;": "&amp;Anmeldung!$D$28&amp;", "&amp;Anmeldung!$E$28&amp;" / "&amp;Anmeldung!$G$28&amp;" / "&amp;Anmeldung!$J$28,"")</f>
        <v/>
      </c>
      <c r="DI15" t="str">
        <f>IF(AND(21&lt;&gt;25,Anmeldung!$D$28&lt;&gt;"",Anmeldung!$G$28=Anmeldung!$G$32,Anmeldung!$J$28=Anmeldung!$J$32),Anmeldung!$B$28&amp;": "&amp;Anmeldung!$D$28&amp;", "&amp;Anmeldung!$E$28&amp;" / "&amp;Anmeldung!$G$28&amp;" / "&amp;Anmeldung!$J$28,"")</f>
        <v/>
      </c>
      <c r="DJ15" t="str">
        <f>IF(AND(21&lt;&gt;25,Anmeldung!$D$28&lt;&gt;"",Anmeldung!$G$28=Anmeldung!$G$32,Anmeldung!$J$28=Anmeldung!$J$32,(Anmeldung!$B$28&amp;": "&amp;Anmeldung!$D$28&amp;", "&amp;Anmeldung!$E$28&amp;" / "&amp;Anmeldung!$G$28&amp;" / "&amp;Anmeldung!$J$28)&lt;&gt;Anmeldung!$P$32),Anmeldung!$B$28&amp;": "&amp;Anmeldung!$D$28&amp;", "&amp;Anmeldung!$E$28&amp;" / "&amp;Anmeldung!$G$28&amp;" / "&amp;Anmeldung!$J$28,"")</f>
        <v/>
      </c>
      <c r="DK15" t="str">
        <f>IF(AND(21&lt;&gt;25,Anmeldung!$D$28&lt;&gt;"",Anmeldung!$G$28=Anmeldung!$G$32,Anmeldung!$J$28=Anmeldung!$J$32,(Anmeldung!$B$28&amp;": "&amp;Anmeldung!$D$28&amp;", "&amp;Anmeldung!$E$28&amp;" / "&amp;Anmeldung!$G$28&amp;" / "&amp;Anmeldung!$J$28)&lt;&gt;Anmeldung!$O$32),Anmeldung!$B$28&amp;": "&amp;Anmeldung!$D$28&amp;", "&amp;Anmeldung!$E$28&amp;" / "&amp;Anmeldung!$G$28&amp;" / "&amp;Anmeldung!$J$28,"")</f>
        <v/>
      </c>
      <c r="DL15" t="str">
        <f>IF(AND(21&lt;&gt;25,Anmeldung!$D$28&lt;&gt;"",Anmeldung!$G$28&lt;&gt;Anmeldung!$G$32,(Anmeldung!$B$28&amp;": "&amp;Anmeldung!$D$28&amp;", "&amp;Anmeldung!$E$28&amp;" / "&amp;Anmeldung!$G$28&amp;" / "&amp;Anmeldung!$J$28)&lt;&gt;Anmeldung!$S$32),Anmeldung!$B$28&amp;": "&amp;Anmeldung!$D$28&amp;", "&amp;Anmeldung!$E$28&amp;" / "&amp;Anmeldung!$G$28&amp;" / "&amp;Anmeldung!$J$28,"")</f>
        <v/>
      </c>
      <c r="DM15" t="str">
        <f>IF(AND(21&lt;&gt;25,Anmeldung!$D$28&lt;&gt;"",(Anmeldung!$B$28&amp;": "&amp;Anmeldung!$D$28&amp;", "&amp;Anmeldung!$E$28&amp;" / "&amp;Anmeldung!$G$28&amp;" / "&amp;Anmeldung!$J$28)&lt;&gt;Anmeldung!$R$32),Anmeldung!$B$28&amp;": "&amp;Anmeldung!$D$28&amp;", "&amp;Anmeldung!$E$28&amp;" / "&amp;Anmeldung!$G$28&amp;" / "&amp;Anmeldung!$J$28,"")</f>
        <v/>
      </c>
      <c r="DN15" t="str">
        <f>IF(AND(20&lt;&gt;24,Anmeldung!$D$28&lt;&gt;"",Anmeldung!$U$28="Ja",Anmeldung!$G$28=Anmeldung!$G$32,Anmeldung!$J$28=Anmeldung!$J$32),Anmeldung!$B$28&amp;": "&amp;Anmeldung!$D$28&amp;", "&amp;Anmeldung!$E$28&amp;" / "&amp;Anmeldung!$G$28&amp;" / "&amp;Anmeldung!$J$28,"")</f>
        <v/>
      </c>
      <c r="DQ15" t="str">
        <f>IF(AND(21&lt;&gt;26,Anmeldung!$D$28&lt;&gt;"",Anmeldung!$G$28=Anmeldung!$G$33,Anmeldung!$J$28=Anmeldung!$J$33),Anmeldung!$B$28&amp;": "&amp;Anmeldung!$D$28&amp;", "&amp;Anmeldung!$E$28&amp;" / "&amp;Anmeldung!$G$28&amp;" / "&amp;Anmeldung!$J$28,"")</f>
        <v/>
      </c>
      <c r="DR15" t="str">
        <f>IF(AND(21&lt;&gt;26,Anmeldung!$D$28&lt;&gt;"",Anmeldung!$G$28=Anmeldung!$G$33,Anmeldung!$J$28=Anmeldung!$J$33,(Anmeldung!$B$28&amp;": "&amp;Anmeldung!$D$28&amp;", "&amp;Anmeldung!$E$28&amp;" / "&amp;Anmeldung!$G$28&amp;" / "&amp;Anmeldung!$J$28)&lt;&gt;Anmeldung!$P$33),Anmeldung!$B$28&amp;": "&amp;Anmeldung!$D$28&amp;", "&amp;Anmeldung!$E$28&amp;" / "&amp;Anmeldung!$G$28&amp;" / "&amp;Anmeldung!$J$28,"")</f>
        <v/>
      </c>
      <c r="DS15" t="str">
        <f>IF(AND(21&lt;&gt;26,Anmeldung!$D$28&lt;&gt;"",Anmeldung!$G$28=Anmeldung!$G$33,Anmeldung!$J$28=Anmeldung!$J$33,(Anmeldung!$B$28&amp;": "&amp;Anmeldung!$D$28&amp;", "&amp;Anmeldung!$E$28&amp;" / "&amp;Anmeldung!$G$28&amp;" / "&amp;Anmeldung!$J$28)&lt;&gt;Anmeldung!$O$33),Anmeldung!$B$28&amp;": "&amp;Anmeldung!$D$28&amp;", "&amp;Anmeldung!$E$28&amp;" / "&amp;Anmeldung!$G$28&amp;" / "&amp;Anmeldung!$J$28,"")</f>
        <v/>
      </c>
      <c r="DT15" t="str">
        <f>IF(AND(21&lt;&gt;26,Anmeldung!$D$28&lt;&gt;"",Anmeldung!$G$28&lt;&gt;Anmeldung!$G$33,(Anmeldung!$B$28&amp;": "&amp;Anmeldung!$D$28&amp;", "&amp;Anmeldung!$E$28&amp;" / "&amp;Anmeldung!$G$28&amp;" / "&amp;Anmeldung!$J$28)&lt;&gt;Anmeldung!$S$33),Anmeldung!$B$28&amp;": "&amp;Anmeldung!$D$28&amp;", "&amp;Anmeldung!$E$28&amp;" / "&amp;Anmeldung!$G$28&amp;" / "&amp;Anmeldung!$J$28,"")</f>
        <v/>
      </c>
      <c r="DU15" t="str">
        <f>IF(AND(21&lt;&gt;26,Anmeldung!$D$28&lt;&gt;"",(Anmeldung!$B$28&amp;": "&amp;Anmeldung!$D$28&amp;", "&amp;Anmeldung!$E$28&amp;" / "&amp;Anmeldung!$G$28&amp;" / "&amp;Anmeldung!$J$28)&lt;&gt;Anmeldung!$R$33),Anmeldung!$B$28&amp;": "&amp;Anmeldung!$D$28&amp;", "&amp;Anmeldung!$E$28&amp;" / "&amp;Anmeldung!$G$28&amp;" / "&amp;Anmeldung!$J$28,"")</f>
        <v/>
      </c>
      <c r="DV15" t="str">
        <f>IF(AND(20&lt;&gt;25,Anmeldung!$D$28&lt;&gt;"",Anmeldung!$U$28="Ja",Anmeldung!$G$28=Anmeldung!$G$33,Anmeldung!$J$28=Anmeldung!$J$33),Anmeldung!$B$28&amp;": "&amp;Anmeldung!$D$28&amp;", "&amp;Anmeldung!$E$28&amp;" / "&amp;Anmeldung!$G$28&amp;" / "&amp;Anmeldung!$J$28,"")</f>
        <v/>
      </c>
      <c r="DY15" t="str">
        <f>IF(AND(21&lt;&gt;27,Anmeldung!$D$28&lt;&gt;"",Anmeldung!$G$28=Anmeldung!$G$34,Anmeldung!$J$28=Anmeldung!$J$34),Anmeldung!$B$28&amp;": "&amp;Anmeldung!$D$28&amp;", "&amp;Anmeldung!$E$28&amp;" / "&amp;Anmeldung!$G$28&amp;" / "&amp;Anmeldung!$J$28,"")</f>
        <v/>
      </c>
      <c r="DZ15" t="str">
        <f>IF(AND(21&lt;&gt;27,Anmeldung!$D$28&lt;&gt;"",Anmeldung!$G$28=Anmeldung!$G$34,Anmeldung!$J$28=Anmeldung!$J$34,(Anmeldung!$B$28&amp;": "&amp;Anmeldung!$D$28&amp;", "&amp;Anmeldung!$E$28&amp;" / "&amp;Anmeldung!$G$28&amp;" / "&amp;Anmeldung!$J$28)&lt;&gt;Anmeldung!$P$34),Anmeldung!$B$28&amp;": "&amp;Anmeldung!$D$28&amp;", "&amp;Anmeldung!$E$28&amp;" / "&amp;Anmeldung!$G$28&amp;" / "&amp;Anmeldung!$J$28,"")</f>
        <v/>
      </c>
      <c r="EA15" t="str">
        <f>IF(AND(21&lt;&gt;27,Anmeldung!$D$28&lt;&gt;"",Anmeldung!$G$28=Anmeldung!$G$34,Anmeldung!$J$28=Anmeldung!$J$34,(Anmeldung!$B$28&amp;": "&amp;Anmeldung!$D$28&amp;", "&amp;Anmeldung!$E$28&amp;" / "&amp;Anmeldung!$G$28&amp;" / "&amp;Anmeldung!$J$28)&lt;&gt;Anmeldung!$O$34),Anmeldung!$B$28&amp;": "&amp;Anmeldung!$D$28&amp;", "&amp;Anmeldung!$E$28&amp;" / "&amp;Anmeldung!$G$28&amp;" / "&amp;Anmeldung!$J$28,"")</f>
        <v/>
      </c>
      <c r="EB15" t="str">
        <f>IF(AND(21&lt;&gt;27,Anmeldung!$D$28&lt;&gt;"",Anmeldung!$G$28&lt;&gt;Anmeldung!$G$34,(Anmeldung!$B$28&amp;": "&amp;Anmeldung!$D$28&amp;", "&amp;Anmeldung!$E$28&amp;" / "&amp;Anmeldung!$G$28&amp;" / "&amp;Anmeldung!$J$28)&lt;&gt;Anmeldung!$S$34),Anmeldung!$B$28&amp;": "&amp;Anmeldung!$D$28&amp;", "&amp;Anmeldung!$E$28&amp;" / "&amp;Anmeldung!$G$28&amp;" / "&amp;Anmeldung!$J$28,"")</f>
        <v/>
      </c>
      <c r="EC15" t="str">
        <f>IF(AND(21&lt;&gt;27,Anmeldung!$D$28&lt;&gt;"",(Anmeldung!$B$28&amp;": "&amp;Anmeldung!$D$28&amp;", "&amp;Anmeldung!$E$28&amp;" / "&amp;Anmeldung!$G$28&amp;" / "&amp;Anmeldung!$J$28)&lt;&gt;Anmeldung!$R$34),Anmeldung!$B$28&amp;": "&amp;Anmeldung!$D$28&amp;", "&amp;Anmeldung!$E$28&amp;" / "&amp;Anmeldung!$G$28&amp;" / "&amp;Anmeldung!$J$28,"")</f>
        <v/>
      </c>
      <c r="ED15" t="str">
        <f>IF(AND(20&lt;&gt;26,Anmeldung!$D$28&lt;&gt;"",Anmeldung!$U$28="Ja",Anmeldung!$G$28=Anmeldung!$G$34,Anmeldung!$J$28=Anmeldung!$J$34),Anmeldung!$B$28&amp;": "&amp;Anmeldung!$D$28&amp;", "&amp;Anmeldung!$E$28&amp;" / "&amp;Anmeldung!$G$28&amp;" / "&amp;Anmeldung!$J$28,"")</f>
        <v/>
      </c>
      <c r="EG15" t="str">
        <f>IF(AND(21&lt;&gt;28,Anmeldung!$D$28&lt;&gt;"",Anmeldung!$G$28=Anmeldung!$G$35,Anmeldung!$J$28=Anmeldung!$J$35),Anmeldung!$B$28&amp;": "&amp;Anmeldung!$D$28&amp;", "&amp;Anmeldung!$E$28&amp;" / "&amp;Anmeldung!$G$28&amp;" / "&amp;Anmeldung!$J$28,"")</f>
        <v/>
      </c>
      <c r="EH15" t="str">
        <f>IF(AND(21&lt;&gt;28,Anmeldung!$D$28&lt;&gt;"",Anmeldung!$G$28=Anmeldung!$G$35,Anmeldung!$J$28=Anmeldung!$J$35,(Anmeldung!$B$28&amp;": "&amp;Anmeldung!$D$28&amp;", "&amp;Anmeldung!$E$28&amp;" / "&amp;Anmeldung!$G$28&amp;" / "&amp;Anmeldung!$J$28)&lt;&gt;Anmeldung!$P$35),Anmeldung!$B$28&amp;": "&amp;Anmeldung!$D$28&amp;", "&amp;Anmeldung!$E$28&amp;" / "&amp;Anmeldung!$G$28&amp;" / "&amp;Anmeldung!$J$28,"")</f>
        <v/>
      </c>
      <c r="EI15" t="str">
        <f>IF(AND(21&lt;&gt;28,Anmeldung!$D$28&lt;&gt;"",Anmeldung!$G$28=Anmeldung!$G$35,Anmeldung!$J$28=Anmeldung!$J$35,(Anmeldung!$B$28&amp;": "&amp;Anmeldung!$D$28&amp;", "&amp;Anmeldung!$E$28&amp;" / "&amp;Anmeldung!$G$28&amp;" / "&amp;Anmeldung!$J$28)&lt;&gt;Anmeldung!$O$35),Anmeldung!$B$28&amp;": "&amp;Anmeldung!$D$28&amp;", "&amp;Anmeldung!$E$28&amp;" / "&amp;Anmeldung!$G$28&amp;" / "&amp;Anmeldung!$J$28,"")</f>
        <v/>
      </c>
      <c r="EJ15" t="str">
        <f>IF(AND(21&lt;&gt;28,Anmeldung!$D$28&lt;&gt;"",Anmeldung!$G$28&lt;&gt;Anmeldung!$G$35,(Anmeldung!$B$28&amp;": "&amp;Anmeldung!$D$28&amp;", "&amp;Anmeldung!$E$28&amp;" / "&amp;Anmeldung!$G$28&amp;" / "&amp;Anmeldung!$J$28)&lt;&gt;Anmeldung!$S$35),Anmeldung!$B$28&amp;": "&amp;Anmeldung!$D$28&amp;", "&amp;Anmeldung!$E$28&amp;" / "&amp;Anmeldung!$G$28&amp;" / "&amp;Anmeldung!$J$28,"")</f>
        <v/>
      </c>
      <c r="EK15" t="str">
        <f>IF(AND(21&lt;&gt;28,Anmeldung!$D$28&lt;&gt;"",(Anmeldung!$B$28&amp;": "&amp;Anmeldung!$D$28&amp;", "&amp;Anmeldung!$E$28&amp;" / "&amp;Anmeldung!$G$28&amp;" / "&amp;Anmeldung!$J$28)&lt;&gt;Anmeldung!$R$35),Anmeldung!$B$28&amp;": "&amp;Anmeldung!$D$28&amp;", "&amp;Anmeldung!$E$28&amp;" / "&amp;Anmeldung!$G$28&amp;" / "&amp;Anmeldung!$J$28,"")</f>
        <v/>
      </c>
      <c r="EL15" t="str">
        <f>IF(AND(20&lt;&gt;27,Anmeldung!$D$28&lt;&gt;"",Anmeldung!$U$28="Ja",Anmeldung!$G$28=Anmeldung!$G$35,Anmeldung!$J$28=Anmeldung!$J$35),Anmeldung!$B$28&amp;": "&amp;Anmeldung!$D$28&amp;", "&amp;Anmeldung!$E$28&amp;" / "&amp;Anmeldung!$G$28&amp;" / "&amp;Anmeldung!$J$28,"")</f>
        <v/>
      </c>
      <c r="EO15" t="str">
        <f>IF(AND(21&lt;&gt;29,Anmeldung!$D$28&lt;&gt;"",Anmeldung!$G$28=Anmeldung!$G$36,Anmeldung!$J$28=Anmeldung!$J$36),Anmeldung!$B$28&amp;": "&amp;Anmeldung!$D$28&amp;", "&amp;Anmeldung!$E$28&amp;" / "&amp;Anmeldung!$G$28&amp;" / "&amp;Anmeldung!$J$28,"")</f>
        <v/>
      </c>
      <c r="EP15" t="str">
        <f>IF(AND(21&lt;&gt;29,Anmeldung!$D$28&lt;&gt;"",Anmeldung!$G$28=Anmeldung!$G$36,Anmeldung!$J$28=Anmeldung!$J$36,(Anmeldung!$B$28&amp;": "&amp;Anmeldung!$D$28&amp;", "&amp;Anmeldung!$E$28&amp;" / "&amp;Anmeldung!$G$28&amp;" / "&amp;Anmeldung!$J$28)&lt;&gt;Anmeldung!$P$36),Anmeldung!$B$28&amp;": "&amp;Anmeldung!$D$28&amp;", "&amp;Anmeldung!$E$28&amp;" / "&amp;Anmeldung!$G$28&amp;" / "&amp;Anmeldung!$J$28,"")</f>
        <v/>
      </c>
      <c r="EQ15" t="str">
        <f>IF(AND(21&lt;&gt;29,Anmeldung!$D$28&lt;&gt;"",Anmeldung!$G$28=Anmeldung!$G$36,Anmeldung!$J$28=Anmeldung!$J$36,(Anmeldung!$B$28&amp;": "&amp;Anmeldung!$D$28&amp;", "&amp;Anmeldung!$E$28&amp;" / "&amp;Anmeldung!$G$28&amp;" / "&amp;Anmeldung!$J$28)&lt;&gt;Anmeldung!$O$36),Anmeldung!$B$28&amp;": "&amp;Anmeldung!$D$28&amp;", "&amp;Anmeldung!$E$28&amp;" / "&amp;Anmeldung!$G$28&amp;" / "&amp;Anmeldung!$J$28,"")</f>
        <v/>
      </c>
      <c r="ER15" t="str">
        <f>IF(AND(21&lt;&gt;29,Anmeldung!$D$28&lt;&gt;"",Anmeldung!$G$28&lt;&gt;Anmeldung!$G$36,(Anmeldung!$B$28&amp;": "&amp;Anmeldung!$D$28&amp;", "&amp;Anmeldung!$E$28&amp;" / "&amp;Anmeldung!$G$28&amp;" / "&amp;Anmeldung!$J$28)&lt;&gt;Anmeldung!$S$36),Anmeldung!$B$28&amp;": "&amp;Anmeldung!$D$28&amp;", "&amp;Anmeldung!$E$28&amp;" / "&amp;Anmeldung!$G$28&amp;" / "&amp;Anmeldung!$J$28,"")</f>
        <v/>
      </c>
      <c r="ES15" t="str">
        <f>IF(AND(21&lt;&gt;29,Anmeldung!$D$28&lt;&gt;"",(Anmeldung!$B$28&amp;": "&amp;Anmeldung!$D$28&amp;", "&amp;Anmeldung!$E$28&amp;" / "&amp;Anmeldung!$G$28&amp;" / "&amp;Anmeldung!$J$28)&lt;&gt;Anmeldung!$R$36),Anmeldung!$B$28&amp;": "&amp;Anmeldung!$D$28&amp;", "&amp;Anmeldung!$E$28&amp;" / "&amp;Anmeldung!$G$28&amp;" / "&amp;Anmeldung!$J$28,"")</f>
        <v/>
      </c>
      <c r="ET15" t="str">
        <f>IF(AND(20&lt;&gt;28,Anmeldung!$D$28&lt;&gt;"",Anmeldung!$U$28="Ja",Anmeldung!$G$28=Anmeldung!$G$36,Anmeldung!$J$28=Anmeldung!$J$36),Anmeldung!$B$28&amp;": "&amp;Anmeldung!$D$28&amp;", "&amp;Anmeldung!$E$28&amp;" / "&amp;Anmeldung!$G$28&amp;" / "&amp;Anmeldung!$J$28,"")</f>
        <v/>
      </c>
      <c r="EW15" t="str">
        <f>IF(AND(21&lt;&gt;30,Anmeldung!$D$28&lt;&gt;"",Anmeldung!$G$28=Anmeldung!$G$37,Anmeldung!$J$28=Anmeldung!$J$37),Anmeldung!$B$28&amp;": "&amp;Anmeldung!$D$28&amp;", "&amp;Anmeldung!$E$28&amp;" / "&amp;Anmeldung!$G$28&amp;" / "&amp;Anmeldung!$J$28,"")</f>
        <v/>
      </c>
      <c r="EX15" t="str">
        <f>IF(AND(21&lt;&gt;30,Anmeldung!$D$28&lt;&gt;"",Anmeldung!$G$28=Anmeldung!$G$37,Anmeldung!$J$28=Anmeldung!$J$37,(Anmeldung!$B$28&amp;": "&amp;Anmeldung!$D$28&amp;", "&amp;Anmeldung!$E$28&amp;" / "&amp;Anmeldung!$G$28&amp;" / "&amp;Anmeldung!$J$28)&lt;&gt;Anmeldung!$P$37),Anmeldung!$B$28&amp;": "&amp;Anmeldung!$D$28&amp;", "&amp;Anmeldung!$E$28&amp;" / "&amp;Anmeldung!$G$28&amp;" / "&amp;Anmeldung!$J$28,"")</f>
        <v/>
      </c>
      <c r="EY15" t="str">
        <f>IF(AND(21&lt;&gt;30,Anmeldung!$D$28&lt;&gt;"",Anmeldung!$G$28=Anmeldung!$G$37,Anmeldung!$J$28=Anmeldung!$J$37,(Anmeldung!$B$28&amp;": "&amp;Anmeldung!$D$28&amp;", "&amp;Anmeldung!$E$28&amp;" / "&amp;Anmeldung!$G$28&amp;" / "&amp;Anmeldung!$J$28)&lt;&gt;Anmeldung!$O$37),Anmeldung!$B$28&amp;": "&amp;Anmeldung!$D$28&amp;", "&amp;Anmeldung!$E$28&amp;" / "&amp;Anmeldung!$G$28&amp;" / "&amp;Anmeldung!$J$28,"")</f>
        <v/>
      </c>
      <c r="EZ15" t="str">
        <f>IF(AND(21&lt;&gt;30,Anmeldung!$D$28&lt;&gt;"",Anmeldung!$G$28&lt;&gt;Anmeldung!$G$37,(Anmeldung!$B$28&amp;": "&amp;Anmeldung!$D$28&amp;", "&amp;Anmeldung!$E$28&amp;" / "&amp;Anmeldung!$G$28&amp;" / "&amp;Anmeldung!$J$28)&lt;&gt;Anmeldung!$S$37),Anmeldung!$B$28&amp;": "&amp;Anmeldung!$D$28&amp;", "&amp;Anmeldung!$E$28&amp;" / "&amp;Anmeldung!$G$28&amp;" / "&amp;Anmeldung!$J$28,"")</f>
        <v/>
      </c>
      <c r="FA15" t="str">
        <f>IF(AND(21&lt;&gt;30,Anmeldung!$D$28&lt;&gt;"",(Anmeldung!$B$28&amp;": "&amp;Anmeldung!$D$28&amp;", "&amp;Anmeldung!$E$28&amp;" / "&amp;Anmeldung!$G$28&amp;" / "&amp;Anmeldung!$J$28)&lt;&gt;Anmeldung!$R$37),Anmeldung!$B$28&amp;": "&amp;Anmeldung!$D$28&amp;", "&amp;Anmeldung!$E$28&amp;" / "&amp;Anmeldung!$G$28&amp;" / "&amp;Anmeldung!$J$28,"")</f>
        <v/>
      </c>
      <c r="FB15" t="str">
        <f>IF(AND(20&lt;&gt;29,Anmeldung!$D$28&lt;&gt;"",Anmeldung!$U$28="Ja",Anmeldung!$G$28=Anmeldung!$G$37,Anmeldung!$J$28=Anmeldung!$J$37),Anmeldung!$B$28&amp;": "&amp;Anmeldung!$D$28&amp;", "&amp;Anmeldung!$E$28&amp;" / "&amp;Anmeldung!$G$28&amp;" / "&amp;Anmeldung!$J$28,"")</f>
        <v/>
      </c>
      <c r="FE15" t="str">
        <f>IF(AND(21&lt;&gt;31,Anmeldung!$D$28&lt;&gt;"",Anmeldung!$G$28=Anmeldung!$G$38,Anmeldung!$J$28=Anmeldung!$J$38),Anmeldung!$B$28&amp;": "&amp;Anmeldung!$D$28&amp;", "&amp;Anmeldung!$E$28&amp;" / "&amp;Anmeldung!$G$28&amp;" / "&amp;Anmeldung!$J$28,"")</f>
        <v/>
      </c>
      <c r="FF15" t="str">
        <f>IF(AND(21&lt;&gt;31,Anmeldung!$D$28&lt;&gt;"",Anmeldung!$G$28=Anmeldung!$G$38,Anmeldung!$J$28=Anmeldung!$J$38,(Anmeldung!$B$28&amp;": "&amp;Anmeldung!$D$28&amp;", "&amp;Anmeldung!$E$28&amp;" / "&amp;Anmeldung!$G$28&amp;" / "&amp;Anmeldung!$J$28)&lt;&gt;Anmeldung!$P$38),Anmeldung!$B$28&amp;": "&amp;Anmeldung!$D$28&amp;", "&amp;Anmeldung!$E$28&amp;" / "&amp;Anmeldung!$G$28&amp;" / "&amp;Anmeldung!$J$28,"")</f>
        <v/>
      </c>
      <c r="FG15" t="str">
        <f>IF(AND(21&lt;&gt;31,Anmeldung!$D$28&lt;&gt;"",Anmeldung!$G$28=Anmeldung!$G$38,Anmeldung!$J$28=Anmeldung!$J$38,(Anmeldung!$B$28&amp;": "&amp;Anmeldung!$D$28&amp;", "&amp;Anmeldung!$E$28&amp;" / "&amp;Anmeldung!$G$28&amp;" / "&amp;Anmeldung!$J$28)&lt;&gt;Anmeldung!$O$38),Anmeldung!$B$28&amp;": "&amp;Anmeldung!$D$28&amp;", "&amp;Anmeldung!$E$28&amp;" / "&amp;Anmeldung!$G$28&amp;" / "&amp;Anmeldung!$J$28,"")</f>
        <v/>
      </c>
      <c r="FH15" t="str">
        <f>IF(AND(21&lt;&gt;31,Anmeldung!$D$28&lt;&gt;"",Anmeldung!$G$28&lt;&gt;Anmeldung!$G$38,(Anmeldung!$B$28&amp;": "&amp;Anmeldung!$D$28&amp;", "&amp;Anmeldung!$E$28&amp;" / "&amp;Anmeldung!$G$28&amp;" / "&amp;Anmeldung!$J$28)&lt;&gt;Anmeldung!$S$38),Anmeldung!$B$28&amp;": "&amp;Anmeldung!$D$28&amp;", "&amp;Anmeldung!$E$28&amp;" / "&amp;Anmeldung!$G$28&amp;" / "&amp;Anmeldung!$J$28,"")</f>
        <v/>
      </c>
      <c r="FI15" t="str">
        <f>IF(AND(21&lt;&gt;31,Anmeldung!$D$28&lt;&gt;"",(Anmeldung!$B$28&amp;": "&amp;Anmeldung!$D$28&amp;", "&amp;Anmeldung!$E$28&amp;" / "&amp;Anmeldung!$G$28&amp;" / "&amp;Anmeldung!$J$28)&lt;&gt;Anmeldung!$R$38),Anmeldung!$B$28&amp;": "&amp;Anmeldung!$D$28&amp;", "&amp;Anmeldung!$E$28&amp;" / "&amp;Anmeldung!$G$28&amp;" / "&amp;Anmeldung!$J$28,"")</f>
        <v/>
      </c>
      <c r="FJ15" t="str">
        <f>IF(AND(20&lt;&gt;30,Anmeldung!$D$28&lt;&gt;"",Anmeldung!$U$28="Ja",Anmeldung!$G$28=Anmeldung!$G$38,Anmeldung!$J$28=Anmeldung!$J$38),Anmeldung!$B$28&amp;": "&amp;Anmeldung!$D$28&amp;", "&amp;Anmeldung!$E$28&amp;" / "&amp;Anmeldung!$G$28&amp;" / "&amp;Anmeldung!$J$28,"")</f>
        <v/>
      </c>
      <c r="FM15" t="str">
        <f>IF(AND(21&lt;&gt;32,Anmeldung!$D$28&lt;&gt;"",Anmeldung!$G$28=Anmeldung!$G$39,Anmeldung!$J$28=Anmeldung!$J$39),Anmeldung!$B$28&amp;": "&amp;Anmeldung!$D$28&amp;", "&amp;Anmeldung!$E$28&amp;" / "&amp;Anmeldung!$G$28&amp;" / "&amp;Anmeldung!$J$28,"")</f>
        <v/>
      </c>
      <c r="FN15" t="str">
        <f>IF(AND(21&lt;&gt;32,Anmeldung!$D$28&lt;&gt;"",Anmeldung!$G$28=Anmeldung!$G$39,Anmeldung!$J$28=Anmeldung!$J$39,(Anmeldung!$B$28&amp;": "&amp;Anmeldung!$D$28&amp;", "&amp;Anmeldung!$E$28&amp;" / "&amp;Anmeldung!$G$28&amp;" / "&amp;Anmeldung!$J$28)&lt;&gt;Anmeldung!$P$39),Anmeldung!$B$28&amp;": "&amp;Anmeldung!$D$28&amp;", "&amp;Anmeldung!$E$28&amp;" / "&amp;Anmeldung!$G$28&amp;" / "&amp;Anmeldung!$J$28,"")</f>
        <v/>
      </c>
      <c r="FO15" t="str">
        <f>IF(AND(21&lt;&gt;32,Anmeldung!$D$28&lt;&gt;"",Anmeldung!$G$28=Anmeldung!$G$39,Anmeldung!$J$28=Anmeldung!$J$39,(Anmeldung!$B$28&amp;": "&amp;Anmeldung!$D$28&amp;", "&amp;Anmeldung!$E$28&amp;" / "&amp;Anmeldung!$G$28&amp;" / "&amp;Anmeldung!$J$28)&lt;&gt;Anmeldung!$O$39),Anmeldung!$B$28&amp;": "&amp;Anmeldung!$D$28&amp;", "&amp;Anmeldung!$E$28&amp;" / "&amp;Anmeldung!$G$28&amp;" / "&amp;Anmeldung!$J$28,"")</f>
        <v/>
      </c>
      <c r="FP15" t="str">
        <f>IF(AND(21&lt;&gt;32,Anmeldung!$D$28&lt;&gt;"",Anmeldung!$G$28&lt;&gt;Anmeldung!$G$39,(Anmeldung!$B$28&amp;": "&amp;Anmeldung!$D$28&amp;", "&amp;Anmeldung!$E$28&amp;" / "&amp;Anmeldung!$G$28&amp;" / "&amp;Anmeldung!$J$28)&lt;&gt;Anmeldung!$S$39),Anmeldung!$B$28&amp;": "&amp;Anmeldung!$D$28&amp;", "&amp;Anmeldung!$E$28&amp;" / "&amp;Anmeldung!$G$28&amp;" / "&amp;Anmeldung!$J$28,"")</f>
        <v/>
      </c>
      <c r="FQ15" t="str">
        <f>IF(AND(21&lt;&gt;32,Anmeldung!$D$28&lt;&gt;"",(Anmeldung!$B$28&amp;": "&amp;Anmeldung!$D$28&amp;", "&amp;Anmeldung!$E$28&amp;" / "&amp;Anmeldung!$G$28&amp;" / "&amp;Anmeldung!$J$28)&lt;&gt;Anmeldung!$R$39),Anmeldung!$B$28&amp;": "&amp;Anmeldung!$D$28&amp;", "&amp;Anmeldung!$E$28&amp;" / "&amp;Anmeldung!$G$28&amp;" / "&amp;Anmeldung!$J$28,"")</f>
        <v/>
      </c>
      <c r="FR15" t="str">
        <f>IF(AND(20&lt;&gt;31,Anmeldung!$D$28&lt;&gt;"",Anmeldung!$U$28="Ja",Anmeldung!$G$28=Anmeldung!$G$39,Anmeldung!$J$28=Anmeldung!$J$39),Anmeldung!$B$28&amp;": "&amp;Anmeldung!$D$28&amp;", "&amp;Anmeldung!$E$28&amp;" / "&amp;Anmeldung!$G$28&amp;" / "&amp;Anmeldung!$J$28,"")</f>
        <v/>
      </c>
      <c r="FU15" t="str">
        <f>IF(AND(21&lt;&gt;33,Anmeldung!$D$28&lt;&gt;"",Anmeldung!$G$28=Anmeldung!$G$40,Anmeldung!$J$28=Anmeldung!$J$40),Anmeldung!$B$28&amp;": "&amp;Anmeldung!$D$28&amp;", "&amp;Anmeldung!$E$28&amp;" / "&amp;Anmeldung!$G$28&amp;" / "&amp;Anmeldung!$J$28,"")</f>
        <v/>
      </c>
      <c r="FV15" t="str">
        <f>IF(AND(21&lt;&gt;33,Anmeldung!$D$28&lt;&gt;"",Anmeldung!$G$28=Anmeldung!$G$40,Anmeldung!$J$28=Anmeldung!$J$40,(Anmeldung!$B$28&amp;": "&amp;Anmeldung!$D$28&amp;", "&amp;Anmeldung!$E$28&amp;" / "&amp;Anmeldung!$G$28&amp;" / "&amp;Anmeldung!$J$28)&lt;&gt;Anmeldung!$P$40),Anmeldung!$B$28&amp;": "&amp;Anmeldung!$D$28&amp;", "&amp;Anmeldung!$E$28&amp;" / "&amp;Anmeldung!$G$28&amp;" / "&amp;Anmeldung!$J$28,"")</f>
        <v/>
      </c>
      <c r="FW15" t="str">
        <f>IF(AND(21&lt;&gt;33,Anmeldung!$D$28&lt;&gt;"",Anmeldung!$G$28=Anmeldung!$G$40,Anmeldung!$J$28=Anmeldung!$J$40,(Anmeldung!$B$28&amp;": "&amp;Anmeldung!$D$28&amp;", "&amp;Anmeldung!$E$28&amp;" / "&amp;Anmeldung!$G$28&amp;" / "&amp;Anmeldung!$J$28)&lt;&gt;Anmeldung!$O$40),Anmeldung!$B$28&amp;": "&amp;Anmeldung!$D$28&amp;", "&amp;Anmeldung!$E$28&amp;" / "&amp;Anmeldung!$G$28&amp;" / "&amp;Anmeldung!$J$28,"")</f>
        <v/>
      </c>
      <c r="FX15" t="str">
        <f>IF(AND(21&lt;&gt;33,Anmeldung!$D$28&lt;&gt;"",Anmeldung!$G$28&lt;&gt;Anmeldung!$G$40,(Anmeldung!$B$28&amp;": "&amp;Anmeldung!$D$28&amp;", "&amp;Anmeldung!$E$28&amp;" / "&amp;Anmeldung!$G$28&amp;" / "&amp;Anmeldung!$J$28)&lt;&gt;Anmeldung!$S$40),Anmeldung!$B$28&amp;": "&amp;Anmeldung!$D$28&amp;", "&amp;Anmeldung!$E$28&amp;" / "&amp;Anmeldung!$G$28&amp;" / "&amp;Anmeldung!$J$28,"")</f>
        <v/>
      </c>
      <c r="FY15" t="str">
        <f>IF(AND(21&lt;&gt;33,Anmeldung!$D$28&lt;&gt;"",(Anmeldung!$B$28&amp;": "&amp;Anmeldung!$D$28&amp;", "&amp;Anmeldung!$E$28&amp;" / "&amp;Anmeldung!$G$28&amp;" / "&amp;Anmeldung!$J$28)&lt;&gt;Anmeldung!$R$40),Anmeldung!$B$28&amp;": "&amp;Anmeldung!$D$28&amp;", "&amp;Anmeldung!$E$28&amp;" / "&amp;Anmeldung!$G$28&amp;" / "&amp;Anmeldung!$J$28,"")</f>
        <v/>
      </c>
      <c r="FZ15" t="str">
        <f>IF(AND(20&lt;&gt;32,Anmeldung!$D$28&lt;&gt;"",Anmeldung!$U$28="Ja",Anmeldung!$G$28=Anmeldung!$G$40,Anmeldung!$J$28=Anmeldung!$J$40),Anmeldung!$B$28&amp;": "&amp;Anmeldung!$D$28&amp;", "&amp;Anmeldung!$E$28&amp;" / "&amp;Anmeldung!$G$28&amp;" / "&amp;Anmeldung!$J$28,"")</f>
        <v/>
      </c>
      <c r="GC15" t="str">
        <f>IF(AND(21&lt;&gt;34,Anmeldung!$D$28&lt;&gt;"",Anmeldung!$G$28=Anmeldung!$G$41,Anmeldung!$J$28=Anmeldung!$J$41),Anmeldung!$B$28&amp;": "&amp;Anmeldung!$D$28&amp;", "&amp;Anmeldung!$E$28&amp;" / "&amp;Anmeldung!$G$28&amp;" / "&amp;Anmeldung!$J$28,"")</f>
        <v/>
      </c>
      <c r="GD15" t="str">
        <f>IF(AND(21&lt;&gt;34,Anmeldung!$D$28&lt;&gt;"",Anmeldung!$G$28=Anmeldung!$G$41,Anmeldung!$J$28=Anmeldung!$J$41,(Anmeldung!$B$28&amp;": "&amp;Anmeldung!$D$28&amp;", "&amp;Anmeldung!$E$28&amp;" / "&amp;Anmeldung!$G$28&amp;" / "&amp;Anmeldung!$J$28)&lt;&gt;Anmeldung!$P$41),Anmeldung!$B$28&amp;": "&amp;Anmeldung!$D$28&amp;", "&amp;Anmeldung!$E$28&amp;" / "&amp;Anmeldung!$G$28&amp;" / "&amp;Anmeldung!$J$28,"")</f>
        <v/>
      </c>
      <c r="GE15" t="str">
        <f>IF(AND(21&lt;&gt;34,Anmeldung!$D$28&lt;&gt;"",Anmeldung!$G$28=Anmeldung!$G$41,Anmeldung!$J$28=Anmeldung!$J$41,(Anmeldung!$B$28&amp;": "&amp;Anmeldung!$D$28&amp;", "&amp;Anmeldung!$E$28&amp;" / "&amp;Anmeldung!$G$28&amp;" / "&amp;Anmeldung!$J$28)&lt;&gt;Anmeldung!$O$41),Anmeldung!$B$28&amp;": "&amp;Anmeldung!$D$28&amp;", "&amp;Anmeldung!$E$28&amp;" / "&amp;Anmeldung!$G$28&amp;" / "&amp;Anmeldung!$J$28,"")</f>
        <v/>
      </c>
      <c r="GF15" t="str">
        <f>IF(AND(21&lt;&gt;34,Anmeldung!$D$28&lt;&gt;"",Anmeldung!$G$28&lt;&gt;Anmeldung!$G$41,(Anmeldung!$B$28&amp;": "&amp;Anmeldung!$D$28&amp;", "&amp;Anmeldung!$E$28&amp;" / "&amp;Anmeldung!$G$28&amp;" / "&amp;Anmeldung!$J$28)&lt;&gt;Anmeldung!$S$41),Anmeldung!$B$28&amp;": "&amp;Anmeldung!$D$28&amp;", "&amp;Anmeldung!$E$28&amp;" / "&amp;Anmeldung!$G$28&amp;" / "&amp;Anmeldung!$J$28,"")</f>
        <v/>
      </c>
      <c r="GG15" t="str">
        <f>IF(AND(21&lt;&gt;34,Anmeldung!$D$28&lt;&gt;"",(Anmeldung!$B$28&amp;": "&amp;Anmeldung!$D$28&amp;", "&amp;Anmeldung!$E$28&amp;" / "&amp;Anmeldung!$G$28&amp;" / "&amp;Anmeldung!$J$28)&lt;&gt;Anmeldung!$R$41),Anmeldung!$B$28&amp;": "&amp;Anmeldung!$D$28&amp;", "&amp;Anmeldung!$E$28&amp;" / "&amp;Anmeldung!$G$28&amp;" / "&amp;Anmeldung!$J$28,"")</f>
        <v/>
      </c>
      <c r="GH15" t="str">
        <f>IF(AND(20&lt;&gt;33,Anmeldung!$D$28&lt;&gt;"",Anmeldung!$U$28="Ja",Anmeldung!$G$28=Anmeldung!$G$41,Anmeldung!$J$28=Anmeldung!$J$41),Anmeldung!$B$28&amp;": "&amp;Anmeldung!$D$28&amp;", "&amp;Anmeldung!$E$28&amp;" / "&amp;Anmeldung!$G$28&amp;" / "&amp;Anmeldung!$J$28,"")</f>
        <v/>
      </c>
      <c r="GK15" t="str">
        <f>IF(AND(21&lt;&gt;35,Anmeldung!$D$28&lt;&gt;"",Anmeldung!$G$28=Anmeldung!$G$42,Anmeldung!$J$28=Anmeldung!$J$42),Anmeldung!$B$28&amp;": "&amp;Anmeldung!$D$28&amp;", "&amp;Anmeldung!$E$28&amp;" / "&amp;Anmeldung!$G$28&amp;" / "&amp;Anmeldung!$J$28,"")</f>
        <v/>
      </c>
      <c r="GL15" t="str">
        <f>IF(AND(21&lt;&gt;35,Anmeldung!$D$28&lt;&gt;"",Anmeldung!$G$28=Anmeldung!$G$42,Anmeldung!$J$28=Anmeldung!$J$42,(Anmeldung!$B$28&amp;": "&amp;Anmeldung!$D$28&amp;", "&amp;Anmeldung!$E$28&amp;" / "&amp;Anmeldung!$G$28&amp;" / "&amp;Anmeldung!$J$28)&lt;&gt;Anmeldung!$P$42),Anmeldung!$B$28&amp;": "&amp;Anmeldung!$D$28&amp;", "&amp;Anmeldung!$E$28&amp;" / "&amp;Anmeldung!$G$28&amp;" / "&amp;Anmeldung!$J$28,"")</f>
        <v/>
      </c>
      <c r="GM15" t="str">
        <f>IF(AND(21&lt;&gt;35,Anmeldung!$D$28&lt;&gt;"",Anmeldung!$G$28=Anmeldung!$G$42,Anmeldung!$J$28=Anmeldung!$J$42,(Anmeldung!$B$28&amp;": "&amp;Anmeldung!$D$28&amp;", "&amp;Anmeldung!$E$28&amp;" / "&amp;Anmeldung!$G$28&amp;" / "&amp;Anmeldung!$J$28)&lt;&gt;Anmeldung!$O$42),Anmeldung!$B$28&amp;": "&amp;Anmeldung!$D$28&amp;", "&amp;Anmeldung!$E$28&amp;" / "&amp;Anmeldung!$G$28&amp;" / "&amp;Anmeldung!$J$28,"")</f>
        <v/>
      </c>
      <c r="GN15" t="str">
        <f>IF(AND(21&lt;&gt;35,Anmeldung!$D$28&lt;&gt;"",Anmeldung!$G$28&lt;&gt;Anmeldung!$G$42,(Anmeldung!$B$28&amp;": "&amp;Anmeldung!$D$28&amp;", "&amp;Anmeldung!$E$28&amp;" / "&amp;Anmeldung!$G$28&amp;" / "&amp;Anmeldung!$J$28)&lt;&gt;Anmeldung!$S$42),Anmeldung!$B$28&amp;": "&amp;Anmeldung!$D$28&amp;", "&amp;Anmeldung!$E$28&amp;" / "&amp;Anmeldung!$G$28&amp;" / "&amp;Anmeldung!$J$28,"")</f>
        <v/>
      </c>
      <c r="GO15" t="str">
        <f>IF(AND(21&lt;&gt;35,Anmeldung!$D$28&lt;&gt;"",(Anmeldung!$B$28&amp;": "&amp;Anmeldung!$D$28&amp;", "&amp;Anmeldung!$E$28&amp;" / "&amp;Anmeldung!$G$28&amp;" / "&amp;Anmeldung!$J$28)&lt;&gt;Anmeldung!$R$42),Anmeldung!$B$28&amp;": "&amp;Anmeldung!$D$28&amp;", "&amp;Anmeldung!$E$28&amp;" / "&amp;Anmeldung!$G$28&amp;" / "&amp;Anmeldung!$J$28,"")</f>
        <v/>
      </c>
      <c r="GP15" t="str">
        <f>IF(AND(20&lt;&gt;34,Anmeldung!$D$28&lt;&gt;"",Anmeldung!$U$28="Ja",Anmeldung!$G$28=Anmeldung!$G$42,Anmeldung!$J$28=Anmeldung!$J$42),Anmeldung!$B$28&amp;": "&amp;Anmeldung!$D$28&amp;", "&amp;Anmeldung!$E$28&amp;" / "&amp;Anmeldung!$G$28&amp;" / "&amp;Anmeldung!$J$28,"")</f>
        <v/>
      </c>
      <c r="GS15" t="str">
        <f>IF(AND(21&lt;&gt;36,Anmeldung!$D$28&lt;&gt;"",Anmeldung!$G$28=Anmeldung!$G$43,Anmeldung!$J$28=Anmeldung!$J$43),Anmeldung!$B$28&amp;": "&amp;Anmeldung!$D$28&amp;", "&amp;Anmeldung!$E$28&amp;" / "&amp;Anmeldung!$G$28&amp;" / "&amp;Anmeldung!$J$28,"")</f>
        <v/>
      </c>
      <c r="GT15" t="str">
        <f>IF(AND(21&lt;&gt;36,Anmeldung!$D$28&lt;&gt;"",Anmeldung!$G$28=Anmeldung!$G$43,Anmeldung!$J$28=Anmeldung!$J$43,(Anmeldung!$B$28&amp;": "&amp;Anmeldung!$D$28&amp;", "&amp;Anmeldung!$E$28&amp;" / "&amp;Anmeldung!$G$28&amp;" / "&amp;Anmeldung!$J$28)&lt;&gt;Anmeldung!$P$43),Anmeldung!$B$28&amp;": "&amp;Anmeldung!$D$28&amp;", "&amp;Anmeldung!$E$28&amp;" / "&amp;Anmeldung!$G$28&amp;" / "&amp;Anmeldung!$J$28,"")</f>
        <v/>
      </c>
      <c r="GU15" t="str">
        <f>IF(AND(21&lt;&gt;36,Anmeldung!$D$28&lt;&gt;"",Anmeldung!$G$28=Anmeldung!$G$43,Anmeldung!$J$28=Anmeldung!$J$43,(Anmeldung!$B$28&amp;": "&amp;Anmeldung!$D$28&amp;", "&amp;Anmeldung!$E$28&amp;" / "&amp;Anmeldung!$G$28&amp;" / "&amp;Anmeldung!$J$28)&lt;&gt;Anmeldung!$O$43),Anmeldung!$B$28&amp;": "&amp;Anmeldung!$D$28&amp;", "&amp;Anmeldung!$E$28&amp;" / "&amp;Anmeldung!$G$28&amp;" / "&amp;Anmeldung!$J$28,"")</f>
        <v/>
      </c>
      <c r="GV15" t="str">
        <f>IF(AND(21&lt;&gt;36,Anmeldung!$D$28&lt;&gt;"",Anmeldung!$G$28&lt;&gt;Anmeldung!$G$43,(Anmeldung!$B$28&amp;": "&amp;Anmeldung!$D$28&amp;", "&amp;Anmeldung!$E$28&amp;" / "&amp;Anmeldung!$G$28&amp;" / "&amp;Anmeldung!$J$28)&lt;&gt;Anmeldung!$S$43),Anmeldung!$B$28&amp;": "&amp;Anmeldung!$D$28&amp;", "&amp;Anmeldung!$E$28&amp;" / "&amp;Anmeldung!$G$28&amp;" / "&amp;Anmeldung!$J$28,"")</f>
        <v/>
      </c>
      <c r="GW15" t="str">
        <f>IF(AND(21&lt;&gt;36,Anmeldung!$D$28&lt;&gt;"",(Anmeldung!$B$28&amp;": "&amp;Anmeldung!$D$28&amp;", "&amp;Anmeldung!$E$28&amp;" / "&amp;Anmeldung!$G$28&amp;" / "&amp;Anmeldung!$J$28)&lt;&gt;Anmeldung!$R$43),Anmeldung!$B$28&amp;": "&amp;Anmeldung!$D$28&amp;", "&amp;Anmeldung!$E$28&amp;" / "&amp;Anmeldung!$G$28&amp;" / "&amp;Anmeldung!$J$28,"")</f>
        <v/>
      </c>
      <c r="GX15" t="str">
        <f>IF(AND(20&lt;&gt;35,Anmeldung!$D$28&lt;&gt;"",Anmeldung!$U$28="Ja",Anmeldung!$G$28=Anmeldung!$G$43,Anmeldung!$J$28=Anmeldung!$J$43),Anmeldung!$B$28&amp;": "&amp;Anmeldung!$D$28&amp;", "&amp;Anmeldung!$E$28&amp;" / "&amp;Anmeldung!$G$28&amp;" / "&amp;Anmeldung!$J$28,"")</f>
        <v/>
      </c>
      <c r="HA15" t="str">
        <f>IF(AND(21&lt;&gt;37,Anmeldung!$D$28&lt;&gt;"",Anmeldung!$G$28=Anmeldung!$G$44,Anmeldung!$J$28=Anmeldung!$J$44),Anmeldung!$B$28&amp;": "&amp;Anmeldung!$D$28&amp;", "&amp;Anmeldung!$E$28&amp;" / "&amp;Anmeldung!$G$28&amp;" / "&amp;Anmeldung!$J$28,"")</f>
        <v/>
      </c>
      <c r="HB15" t="str">
        <f>IF(AND(21&lt;&gt;37,Anmeldung!$D$28&lt;&gt;"",Anmeldung!$G$28=Anmeldung!$G$44,Anmeldung!$J$28=Anmeldung!$J$44,(Anmeldung!$B$28&amp;": "&amp;Anmeldung!$D$28&amp;", "&amp;Anmeldung!$E$28&amp;" / "&amp;Anmeldung!$G$28&amp;" / "&amp;Anmeldung!$J$28)&lt;&gt;Anmeldung!$P$44),Anmeldung!$B$28&amp;": "&amp;Anmeldung!$D$28&amp;", "&amp;Anmeldung!$E$28&amp;" / "&amp;Anmeldung!$G$28&amp;" / "&amp;Anmeldung!$J$28,"")</f>
        <v/>
      </c>
      <c r="HC15" t="str">
        <f>IF(AND(21&lt;&gt;37,Anmeldung!$D$28&lt;&gt;"",Anmeldung!$G$28=Anmeldung!$G$44,Anmeldung!$J$28=Anmeldung!$J$44,(Anmeldung!$B$28&amp;": "&amp;Anmeldung!$D$28&amp;", "&amp;Anmeldung!$E$28&amp;" / "&amp;Anmeldung!$G$28&amp;" / "&amp;Anmeldung!$J$28)&lt;&gt;Anmeldung!$O$44),Anmeldung!$B$28&amp;": "&amp;Anmeldung!$D$28&amp;", "&amp;Anmeldung!$E$28&amp;" / "&amp;Anmeldung!$G$28&amp;" / "&amp;Anmeldung!$J$28,"")</f>
        <v/>
      </c>
      <c r="HD15" t="str">
        <f>IF(AND(21&lt;&gt;37,Anmeldung!$D$28&lt;&gt;"",Anmeldung!$G$28&lt;&gt;Anmeldung!$G$44,(Anmeldung!$B$28&amp;": "&amp;Anmeldung!$D$28&amp;", "&amp;Anmeldung!$E$28&amp;" / "&amp;Anmeldung!$G$28&amp;" / "&amp;Anmeldung!$J$28)&lt;&gt;Anmeldung!$S$44),Anmeldung!$B$28&amp;": "&amp;Anmeldung!$D$28&amp;", "&amp;Anmeldung!$E$28&amp;" / "&amp;Anmeldung!$G$28&amp;" / "&amp;Anmeldung!$J$28,"")</f>
        <v/>
      </c>
      <c r="HE15" t="str">
        <f>IF(AND(21&lt;&gt;37,Anmeldung!$D$28&lt;&gt;"",(Anmeldung!$B$28&amp;": "&amp;Anmeldung!$D$28&amp;", "&amp;Anmeldung!$E$28&amp;" / "&amp;Anmeldung!$G$28&amp;" / "&amp;Anmeldung!$J$28)&lt;&gt;Anmeldung!$R$44),Anmeldung!$B$28&amp;": "&amp;Anmeldung!$D$28&amp;", "&amp;Anmeldung!$E$28&amp;" / "&amp;Anmeldung!$G$28&amp;" / "&amp;Anmeldung!$J$28,"")</f>
        <v/>
      </c>
      <c r="HF15" t="str">
        <f>IF(AND(20&lt;&gt;36,Anmeldung!$D$28&lt;&gt;"",Anmeldung!$U$28="Ja",Anmeldung!$G$28=Anmeldung!$G$44,Anmeldung!$J$28=Anmeldung!$J$44),Anmeldung!$B$28&amp;": "&amp;Anmeldung!$D$28&amp;", "&amp;Anmeldung!$E$28&amp;" / "&amp;Anmeldung!$G$28&amp;" / "&amp;Anmeldung!$J$28,"")</f>
        <v/>
      </c>
      <c r="HI15" t="str">
        <f>IF(AND(21&lt;&gt;38,Anmeldung!$D$28&lt;&gt;"",Anmeldung!$G$28=Anmeldung!$G$45,Anmeldung!$J$28=Anmeldung!$J$45),Anmeldung!$B$28&amp;": "&amp;Anmeldung!$D$28&amp;", "&amp;Anmeldung!$E$28&amp;" / "&amp;Anmeldung!$G$28&amp;" / "&amp;Anmeldung!$J$28,"")</f>
        <v/>
      </c>
      <c r="HJ15" t="str">
        <f>IF(AND(21&lt;&gt;38,Anmeldung!$D$28&lt;&gt;"",Anmeldung!$G$28=Anmeldung!$G$45,Anmeldung!$J$28=Anmeldung!$J$45,(Anmeldung!$B$28&amp;": "&amp;Anmeldung!$D$28&amp;", "&amp;Anmeldung!$E$28&amp;" / "&amp;Anmeldung!$G$28&amp;" / "&amp;Anmeldung!$J$28)&lt;&gt;Anmeldung!$P$45),Anmeldung!$B$28&amp;": "&amp;Anmeldung!$D$28&amp;", "&amp;Anmeldung!$E$28&amp;" / "&amp;Anmeldung!$G$28&amp;" / "&amp;Anmeldung!$J$28,"")</f>
        <v/>
      </c>
      <c r="HK15" t="str">
        <f>IF(AND(21&lt;&gt;38,Anmeldung!$D$28&lt;&gt;"",Anmeldung!$G$28=Anmeldung!$G$45,Anmeldung!$J$28=Anmeldung!$J$45,(Anmeldung!$B$28&amp;": "&amp;Anmeldung!$D$28&amp;", "&amp;Anmeldung!$E$28&amp;" / "&amp;Anmeldung!$G$28&amp;" / "&amp;Anmeldung!$J$28)&lt;&gt;Anmeldung!$O$45),Anmeldung!$B$28&amp;": "&amp;Anmeldung!$D$28&amp;", "&amp;Anmeldung!$E$28&amp;" / "&amp;Anmeldung!$G$28&amp;" / "&amp;Anmeldung!$J$28,"")</f>
        <v/>
      </c>
      <c r="HL15" t="str">
        <f>IF(AND(21&lt;&gt;38,Anmeldung!$D$28&lt;&gt;"",Anmeldung!$G$28&lt;&gt;Anmeldung!$G$45,(Anmeldung!$B$28&amp;": "&amp;Anmeldung!$D$28&amp;", "&amp;Anmeldung!$E$28&amp;" / "&amp;Anmeldung!$G$28&amp;" / "&amp;Anmeldung!$J$28)&lt;&gt;Anmeldung!$S$45),Anmeldung!$B$28&amp;": "&amp;Anmeldung!$D$28&amp;", "&amp;Anmeldung!$E$28&amp;" / "&amp;Anmeldung!$G$28&amp;" / "&amp;Anmeldung!$J$28,"")</f>
        <v/>
      </c>
      <c r="HM15" t="str">
        <f>IF(AND(21&lt;&gt;38,Anmeldung!$D$28&lt;&gt;"",(Anmeldung!$B$28&amp;": "&amp;Anmeldung!$D$28&amp;", "&amp;Anmeldung!$E$28&amp;" / "&amp;Anmeldung!$G$28&amp;" / "&amp;Anmeldung!$J$28)&lt;&gt;Anmeldung!$R$45),Anmeldung!$B$28&amp;": "&amp;Anmeldung!$D$28&amp;", "&amp;Anmeldung!$E$28&amp;" / "&amp;Anmeldung!$G$28&amp;" / "&amp;Anmeldung!$J$28,"")</f>
        <v/>
      </c>
      <c r="HN15" t="str">
        <f>IF(AND(20&lt;&gt;37,Anmeldung!$D$28&lt;&gt;"",Anmeldung!$U$28="Ja",Anmeldung!$G$28=Anmeldung!$G$45,Anmeldung!$J$28=Anmeldung!$J$45),Anmeldung!$B$28&amp;": "&amp;Anmeldung!$D$28&amp;", "&amp;Anmeldung!$E$28&amp;" / "&amp;Anmeldung!$G$28&amp;" / "&amp;Anmeldung!$J$28,"")</f>
        <v/>
      </c>
      <c r="HQ15" t="str">
        <f>IF(AND(21&lt;&gt;39,Anmeldung!$D$28&lt;&gt;"",Anmeldung!$G$28=Anmeldung!$G$46,Anmeldung!$J$28=Anmeldung!$J$46),Anmeldung!$B$28&amp;": "&amp;Anmeldung!$D$28&amp;", "&amp;Anmeldung!$E$28&amp;" / "&amp;Anmeldung!$G$28&amp;" / "&amp;Anmeldung!$J$28,"")</f>
        <v/>
      </c>
      <c r="HR15" t="str">
        <f>IF(AND(21&lt;&gt;39,Anmeldung!$D$28&lt;&gt;"",Anmeldung!$G$28=Anmeldung!$G$46,Anmeldung!$J$28=Anmeldung!$J$46,(Anmeldung!$B$28&amp;": "&amp;Anmeldung!$D$28&amp;", "&amp;Anmeldung!$E$28&amp;" / "&amp;Anmeldung!$G$28&amp;" / "&amp;Anmeldung!$J$28)&lt;&gt;Anmeldung!$P$46),Anmeldung!$B$28&amp;": "&amp;Anmeldung!$D$28&amp;", "&amp;Anmeldung!$E$28&amp;" / "&amp;Anmeldung!$G$28&amp;" / "&amp;Anmeldung!$J$28,"")</f>
        <v/>
      </c>
      <c r="HS15" t="str">
        <f>IF(AND(21&lt;&gt;39,Anmeldung!$D$28&lt;&gt;"",Anmeldung!$G$28=Anmeldung!$G$46,Anmeldung!$J$28=Anmeldung!$J$46,(Anmeldung!$B$28&amp;": "&amp;Anmeldung!$D$28&amp;", "&amp;Anmeldung!$E$28&amp;" / "&amp;Anmeldung!$G$28&amp;" / "&amp;Anmeldung!$J$28)&lt;&gt;Anmeldung!$O$46),Anmeldung!$B$28&amp;": "&amp;Anmeldung!$D$28&amp;", "&amp;Anmeldung!$E$28&amp;" / "&amp;Anmeldung!$G$28&amp;" / "&amp;Anmeldung!$J$28,"")</f>
        <v/>
      </c>
      <c r="HT15" t="str">
        <f>IF(AND(21&lt;&gt;39,Anmeldung!$D$28&lt;&gt;"",Anmeldung!$G$28&lt;&gt;Anmeldung!$G$46,(Anmeldung!$B$28&amp;": "&amp;Anmeldung!$D$28&amp;", "&amp;Anmeldung!$E$28&amp;" / "&amp;Anmeldung!$G$28&amp;" / "&amp;Anmeldung!$J$28)&lt;&gt;Anmeldung!$S$46),Anmeldung!$B$28&amp;": "&amp;Anmeldung!$D$28&amp;", "&amp;Anmeldung!$E$28&amp;" / "&amp;Anmeldung!$G$28&amp;" / "&amp;Anmeldung!$J$28,"")</f>
        <v/>
      </c>
      <c r="HU15" t="str">
        <f>IF(AND(21&lt;&gt;39,Anmeldung!$D$28&lt;&gt;"",(Anmeldung!$B$28&amp;": "&amp;Anmeldung!$D$28&amp;", "&amp;Anmeldung!$E$28&amp;" / "&amp;Anmeldung!$G$28&amp;" / "&amp;Anmeldung!$J$28)&lt;&gt;Anmeldung!$R$46),Anmeldung!$B$28&amp;": "&amp;Anmeldung!$D$28&amp;", "&amp;Anmeldung!$E$28&amp;" / "&amp;Anmeldung!$G$28&amp;" / "&amp;Anmeldung!$J$28,"")</f>
        <v/>
      </c>
      <c r="HV15" t="str">
        <f>IF(AND(20&lt;&gt;38,Anmeldung!$D$28&lt;&gt;"",Anmeldung!$U$28="Ja",Anmeldung!$G$28=Anmeldung!$G$46,Anmeldung!$J$28=Anmeldung!$J$46),Anmeldung!$B$28&amp;": "&amp;Anmeldung!$D$28&amp;", "&amp;Anmeldung!$E$28&amp;" / "&amp;Anmeldung!$G$28&amp;" / "&amp;Anmeldung!$J$28,"")</f>
        <v/>
      </c>
      <c r="HY15" t="str">
        <f>IF(AND(21&lt;&gt;40,Anmeldung!$D$28&lt;&gt;"",Anmeldung!$G$28=Anmeldung!$G$47,Anmeldung!$J$28=Anmeldung!$J$47),Anmeldung!$B$28&amp;": "&amp;Anmeldung!$D$28&amp;", "&amp;Anmeldung!$E$28&amp;" / "&amp;Anmeldung!$G$28&amp;" / "&amp;Anmeldung!$J$28,"")</f>
        <v/>
      </c>
      <c r="HZ15" t="str">
        <f>IF(AND(21&lt;&gt;40,Anmeldung!$D$28&lt;&gt;"",Anmeldung!$G$28=Anmeldung!$G$47,Anmeldung!$J$28=Anmeldung!$J$47,(Anmeldung!$B$28&amp;": "&amp;Anmeldung!$D$28&amp;", "&amp;Anmeldung!$E$28&amp;" / "&amp;Anmeldung!$G$28&amp;" / "&amp;Anmeldung!$J$28)&lt;&gt;Anmeldung!$P$47),Anmeldung!$B$28&amp;": "&amp;Anmeldung!$D$28&amp;", "&amp;Anmeldung!$E$28&amp;" / "&amp;Anmeldung!$G$28&amp;" / "&amp;Anmeldung!$J$28,"")</f>
        <v/>
      </c>
      <c r="IA15" t="str">
        <f>IF(AND(21&lt;&gt;40,Anmeldung!$D$28&lt;&gt;"",Anmeldung!$G$28=Anmeldung!$G$47,Anmeldung!$J$28=Anmeldung!$J$47,(Anmeldung!$B$28&amp;": "&amp;Anmeldung!$D$28&amp;", "&amp;Anmeldung!$E$28&amp;" / "&amp;Anmeldung!$G$28&amp;" / "&amp;Anmeldung!$J$28)&lt;&gt;Anmeldung!$O$47),Anmeldung!$B$28&amp;": "&amp;Anmeldung!$D$28&amp;", "&amp;Anmeldung!$E$28&amp;" / "&amp;Anmeldung!$G$28&amp;" / "&amp;Anmeldung!$J$28,"")</f>
        <v/>
      </c>
      <c r="IB15" t="str">
        <f>IF(AND(21&lt;&gt;40,Anmeldung!$D$28&lt;&gt;"",Anmeldung!$G$28&lt;&gt;Anmeldung!$G$47,(Anmeldung!$B$28&amp;": "&amp;Anmeldung!$D$28&amp;", "&amp;Anmeldung!$E$28&amp;" / "&amp;Anmeldung!$G$28&amp;" / "&amp;Anmeldung!$J$28)&lt;&gt;Anmeldung!$S$47),Anmeldung!$B$28&amp;": "&amp;Anmeldung!$D$28&amp;", "&amp;Anmeldung!$E$28&amp;" / "&amp;Anmeldung!$G$28&amp;" / "&amp;Anmeldung!$J$28,"")</f>
        <v/>
      </c>
      <c r="IC15" t="str">
        <f>IF(AND(21&lt;&gt;40,Anmeldung!$D$28&lt;&gt;"",(Anmeldung!$B$28&amp;": "&amp;Anmeldung!$D$28&amp;", "&amp;Anmeldung!$E$28&amp;" / "&amp;Anmeldung!$G$28&amp;" / "&amp;Anmeldung!$J$28)&lt;&gt;Anmeldung!$R$47),Anmeldung!$B$28&amp;": "&amp;Anmeldung!$D$28&amp;", "&amp;Anmeldung!$E$28&amp;" / "&amp;Anmeldung!$G$28&amp;" / "&amp;Anmeldung!$J$28,"")</f>
        <v/>
      </c>
      <c r="ID15" t="str">
        <f>IF(AND(20&lt;&gt;39,Anmeldung!$D$28&lt;&gt;"",Anmeldung!$U$28="Ja",Anmeldung!$G$28=Anmeldung!$G$47,Anmeldung!$J$28=Anmeldung!$J$47),Anmeldung!$B$28&amp;": "&amp;Anmeldung!$D$28&amp;", "&amp;Anmeldung!$E$28&amp;" / "&amp;Anmeldung!$G$28&amp;" / "&amp;Anmeldung!$J$28,"")</f>
        <v/>
      </c>
    </row>
    <row r="16" spans="1:238" ht="14.25" customHeight="1" x14ac:dyDescent="0.3">
      <c r="A16" t="str">
        <f>IF(AND(22&lt;&gt;11,Anmeldung!$D$29&lt;&gt;"",Anmeldung!$G$29=Anmeldung!$G$18,Anmeldung!$J$29=Anmeldung!$J$18),Anmeldung!$B$29&amp;": "&amp;Anmeldung!$D$29&amp;", "&amp;Anmeldung!$E$29&amp;" / "&amp;Anmeldung!$G$29&amp;" / "&amp;Anmeldung!$J$29,"")</f>
        <v/>
      </c>
      <c r="B16" t="str">
        <f>IF(AND(22&lt;&gt;11,Anmeldung!$D$29&lt;&gt;"",Anmeldung!$G$29=Anmeldung!$G$18,Anmeldung!$J$29=Anmeldung!$J$18,(Anmeldung!$B$29&amp;": "&amp;Anmeldung!$D$29&amp;", "&amp;Anmeldung!$E$29&amp;" / "&amp;Anmeldung!$G$29&amp;" / "&amp;Anmeldung!$J$29)&lt;&gt;Anmeldung!$P$18),Anmeldung!$B$29&amp;": "&amp;Anmeldung!$D$29&amp;", "&amp;Anmeldung!$E$29&amp;" / "&amp;Anmeldung!$G$29&amp;" / "&amp;Anmeldung!$J$29,"")</f>
        <v/>
      </c>
      <c r="C16" t="str">
        <f>IF(AND(22&lt;&gt;11,Anmeldung!$D$29&lt;&gt;"",Anmeldung!$G$29=Anmeldung!$G$18,Anmeldung!$J$29=Anmeldung!$J$18,(Anmeldung!$B$29&amp;": "&amp;Anmeldung!$D$29&amp;", "&amp;Anmeldung!$E$29&amp;" / "&amp;Anmeldung!$G$29&amp;" / "&amp;Anmeldung!$J$29)&lt;&gt;Anmeldung!$O$18),Anmeldung!$B$29&amp;": "&amp;Anmeldung!$D$29&amp;", "&amp;Anmeldung!$E$29&amp;" / "&amp;Anmeldung!$G$29&amp;" / "&amp;Anmeldung!$J$29,"")</f>
        <v/>
      </c>
      <c r="D16" t="str">
        <f>IF(AND(22&lt;&gt;11,Anmeldung!$D$29&lt;&gt;"",Anmeldung!$G$29&lt;&gt;Anmeldung!$G$18,(Anmeldung!$B$29&amp;": "&amp;Anmeldung!$D$29&amp;", "&amp;Anmeldung!$E$29&amp;" / "&amp;Anmeldung!$G$29&amp;" / "&amp;Anmeldung!$J$29)&lt;&gt;Anmeldung!$S$18),Anmeldung!$B$29&amp;": "&amp;Anmeldung!$D$29&amp;", "&amp;Anmeldung!$E$29&amp;" / "&amp;Anmeldung!$G$29&amp;" / "&amp;Anmeldung!$J$29,"")</f>
        <v/>
      </c>
      <c r="E16" t="str">
        <f>IF(AND(22&lt;&gt;11,Anmeldung!$D$29&lt;&gt;"",(Anmeldung!$B$29&amp;": "&amp;Anmeldung!$D$29&amp;", "&amp;Anmeldung!$E$29&amp;" / "&amp;Anmeldung!$G$29&amp;" / "&amp;Anmeldung!$J$29)&lt;&gt;Anmeldung!$R$18),Anmeldung!$B$29&amp;": "&amp;Anmeldung!$D$29&amp;", "&amp;Anmeldung!$E$29&amp;" / "&amp;Anmeldung!$G$29&amp;" / "&amp;Anmeldung!$J$29,"")</f>
        <v/>
      </c>
      <c r="F16" t="str">
        <f>IF(AND(21&lt;&gt;10,Anmeldung!$D$29&lt;&gt;"",Anmeldung!$U$29="Ja",Anmeldung!$G$29=Anmeldung!$G$18,Anmeldung!$J$29=Anmeldung!$J$18),Anmeldung!$B$29&amp;": "&amp;Anmeldung!$D$29&amp;", "&amp;Anmeldung!$E$29&amp;" / "&amp;Anmeldung!$G$29&amp;" / "&amp;Anmeldung!$J$29,"")</f>
        <v/>
      </c>
      <c r="I16" t="str">
        <f>IF(AND(22&lt;&gt;12,Anmeldung!$D$29&lt;&gt;"",Anmeldung!$G$29=Anmeldung!$G$19,Anmeldung!$J$29=Anmeldung!$J$19),Anmeldung!$B$29&amp;": "&amp;Anmeldung!$D$29&amp;", "&amp;Anmeldung!$E$29&amp;" / "&amp;Anmeldung!$G$29&amp;" / "&amp;Anmeldung!$J$29,"")</f>
        <v/>
      </c>
      <c r="J16" t="str">
        <f>IF(AND(22&lt;&gt;12,Anmeldung!$D$29&lt;&gt;"",Anmeldung!$G$29=Anmeldung!$G$19,Anmeldung!$J$29=Anmeldung!$J$19,(Anmeldung!$B$29&amp;": "&amp;Anmeldung!$D$29&amp;", "&amp;Anmeldung!$E$29&amp;" / "&amp;Anmeldung!$G$29&amp;" / "&amp;Anmeldung!$J$29)&lt;&gt;Anmeldung!$P$19),Anmeldung!$B$29&amp;": "&amp;Anmeldung!$D$29&amp;", "&amp;Anmeldung!$E$29&amp;" / "&amp;Anmeldung!$G$29&amp;" / "&amp;Anmeldung!$J$29,"")</f>
        <v/>
      </c>
      <c r="K16" t="str">
        <f>IF(AND(22&lt;&gt;12,Anmeldung!$D$29&lt;&gt;"",Anmeldung!$G$29=Anmeldung!$G$19,Anmeldung!$J$29=Anmeldung!$J$19,(Anmeldung!$B$29&amp;": "&amp;Anmeldung!$D$29&amp;", "&amp;Anmeldung!$E$29&amp;" / "&amp;Anmeldung!$G$29&amp;" / "&amp;Anmeldung!$J$29)&lt;&gt;Anmeldung!$O$19),Anmeldung!$B$29&amp;": "&amp;Anmeldung!$D$29&amp;", "&amp;Anmeldung!$E$29&amp;" / "&amp;Anmeldung!$G$29&amp;" / "&amp;Anmeldung!$J$29,"")</f>
        <v/>
      </c>
      <c r="L16" t="str">
        <f>IF(AND(22&lt;&gt;12,Anmeldung!$D$29&lt;&gt;"",Anmeldung!$G$29&lt;&gt;Anmeldung!$G$19,(Anmeldung!$B$29&amp;": "&amp;Anmeldung!$D$29&amp;", "&amp;Anmeldung!$E$29&amp;" / "&amp;Anmeldung!$G$29&amp;" / "&amp;Anmeldung!$J$29)&lt;&gt;Anmeldung!$S$19),Anmeldung!$B$29&amp;": "&amp;Anmeldung!$D$29&amp;", "&amp;Anmeldung!$E$29&amp;" / "&amp;Anmeldung!$G$29&amp;" / "&amp;Anmeldung!$J$29,"")</f>
        <v/>
      </c>
      <c r="M16" t="str">
        <f>IF(AND(22&lt;&gt;12,Anmeldung!$D$29&lt;&gt;"",(Anmeldung!$B$29&amp;": "&amp;Anmeldung!$D$29&amp;", "&amp;Anmeldung!$E$29&amp;" / "&amp;Anmeldung!$G$29&amp;" / "&amp;Anmeldung!$J$29)&lt;&gt;Anmeldung!$R$19),Anmeldung!$B$29&amp;": "&amp;Anmeldung!$D$29&amp;", "&amp;Anmeldung!$E$29&amp;" / "&amp;Anmeldung!$G$29&amp;" / "&amp;Anmeldung!$J$29,"")</f>
        <v/>
      </c>
      <c r="N16" t="str">
        <f>IF(AND(21&lt;&gt;11,Anmeldung!$D$29&lt;&gt;"",Anmeldung!$U$29="Ja",Anmeldung!$G$29=Anmeldung!$G$19,Anmeldung!$J$29=Anmeldung!$J$19),Anmeldung!$B$29&amp;": "&amp;Anmeldung!$D$29&amp;", "&amp;Anmeldung!$E$29&amp;" / "&amp;Anmeldung!$G$29&amp;" / "&amp;Anmeldung!$J$29,"")</f>
        <v/>
      </c>
      <c r="Q16" t="str">
        <f>IF(AND(22&lt;&gt;13,Anmeldung!$D$29&lt;&gt;"",Anmeldung!$G$29=Anmeldung!$G$20,Anmeldung!$J$29=Anmeldung!$J$20),Anmeldung!$B$29&amp;": "&amp;Anmeldung!$D$29&amp;", "&amp;Anmeldung!$E$29&amp;" / "&amp;Anmeldung!$G$29&amp;" / "&amp;Anmeldung!$J$29,"")</f>
        <v/>
      </c>
      <c r="R16" t="str">
        <f>IF(AND(22&lt;&gt;13,Anmeldung!$D$29&lt;&gt;"",Anmeldung!$G$29=Anmeldung!$G$20,Anmeldung!$J$29=Anmeldung!$J$20,(Anmeldung!$B$29&amp;": "&amp;Anmeldung!$D$29&amp;", "&amp;Anmeldung!$E$29&amp;" / "&amp;Anmeldung!$G$29&amp;" / "&amp;Anmeldung!$J$29)&lt;&gt;Anmeldung!$P$20),Anmeldung!$B$29&amp;": "&amp;Anmeldung!$D$29&amp;", "&amp;Anmeldung!$E$29&amp;" / "&amp;Anmeldung!$G$29&amp;" / "&amp;Anmeldung!$J$29,"")</f>
        <v/>
      </c>
      <c r="S16" t="str">
        <f>IF(AND(22&lt;&gt;13,Anmeldung!$D$29&lt;&gt;"",Anmeldung!$G$29=Anmeldung!$G$20,Anmeldung!$J$29=Anmeldung!$J$20,(Anmeldung!$B$29&amp;": "&amp;Anmeldung!$D$29&amp;", "&amp;Anmeldung!$E$29&amp;" / "&amp;Anmeldung!$G$29&amp;" / "&amp;Anmeldung!$J$29)&lt;&gt;Anmeldung!$O$20),Anmeldung!$B$29&amp;": "&amp;Anmeldung!$D$29&amp;", "&amp;Anmeldung!$E$29&amp;" / "&amp;Anmeldung!$G$29&amp;" / "&amp;Anmeldung!$J$29,"")</f>
        <v/>
      </c>
      <c r="T16" t="str">
        <f>IF(AND(22&lt;&gt;13,Anmeldung!$D$29&lt;&gt;"",Anmeldung!$G$29&lt;&gt;Anmeldung!$G$20,(Anmeldung!$B$29&amp;": "&amp;Anmeldung!$D$29&amp;", "&amp;Anmeldung!$E$29&amp;" / "&amp;Anmeldung!$G$29&amp;" / "&amp;Anmeldung!$J$29)&lt;&gt;Anmeldung!$S$20),Anmeldung!$B$29&amp;": "&amp;Anmeldung!$D$29&amp;", "&amp;Anmeldung!$E$29&amp;" / "&amp;Anmeldung!$G$29&amp;" / "&amp;Anmeldung!$J$29,"")</f>
        <v/>
      </c>
      <c r="U16" t="str">
        <f>IF(AND(22&lt;&gt;13,Anmeldung!$D$29&lt;&gt;"",(Anmeldung!$B$29&amp;": "&amp;Anmeldung!$D$29&amp;", "&amp;Anmeldung!$E$29&amp;" / "&amp;Anmeldung!$G$29&amp;" / "&amp;Anmeldung!$J$29)&lt;&gt;Anmeldung!$R$20),Anmeldung!$B$29&amp;": "&amp;Anmeldung!$D$29&amp;", "&amp;Anmeldung!$E$29&amp;" / "&amp;Anmeldung!$G$29&amp;" / "&amp;Anmeldung!$J$29,"")</f>
        <v/>
      </c>
      <c r="V16" t="str">
        <f>IF(AND(21&lt;&gt;12,Anmeldung!$D$29&lt;&gt;"",Anmeldung!$U$29="Ja",Anmeldung!$G$29=Anmeldung!$G$20,Anmeldung!$J$29=Anmeldung!$J$20),Anmeldung!$B$29&amp;": "&amp;Anmeldung!$D$29&amp;", "&amp;Anmeldung!$E$29&amp;" / "&amp;Anmeldung!$G$29&amp;" / "&amp;Anmeldung!$J$29,"")</f>
        <v/>
      </c>
      <c r="Y16" t="str">
        <f>IF(AND(22&lt;&gt;14,Anmeldung!$D$29&lt;&gt;"",Anmeldung!$G$29=Anmeldung!$G$21,Anmeldung!$J$29=Anmeldung!$J$21),Anmeldung!$B$29&amp;": "&amp;Anmeldung!$D$29&amp;", "&amp;Anmeldung!$E$29&amp;" / "&amp;Anmeldung!$G$29&amp;" / "&amp;Anmeldung!$J$29,"")</f>
        <v/>
      </c>
      <c r="Z16" t="str">
        <f>IF(AND(22&lt;&gt;14,Anmeldung!$D$29&lt;&gt;"",Anmeldung!$G$29=Anmeldung!$G$21,Anmeldung!$J$29=Anmeldung!$J$21,(Anmeldung!$B$29&amp;": "&amp;Anmeldung!$D$29&amp;", "&amp;Anmeldung!$E$29&amp;" / "&amp;Anmeldung!$G$29&amp;" / "&amp;Anmeldung!$J$29)&lt;&gt;Anmeldung!$P$21),Anmeldung!$B$29&amp;": "&amp;Anmeldung!$D$29&amp;", "&amp;Anmeldung!$E$29&amp;" / "&amp;Anmeldung!$G$29&amp;" / "&amp;Anmeldung!$J$29,"")</f>
        <v/>
      </c>
      <c r="AA16" t="str">
        <f>IF(AND(22&lt;&gt;14,Anmeldung!$D$29&lt;&gt;"",Anmeldung!$G$29=Anmeldung!$G$21,Anmeldung!$J$29=Anmeldung!$J$21,(Anmeldung!$B$29&amp;": "&amp;Anmeldung!$D$29&amp;", "&amp;Anmeldung!$E$29&amp;" / "&amp;Anmeldung!$G$29&amp;" / "&amp;Anmeldung!$J$29)&lt;&gt;Anmeldung!$O$21),Anmeldung!$B$29&amp;": "&amp;Anmeldung!$D$29&amp;", "&amp;Anmeldung!$E$29&amp;" / "&amp;Anmeldung!$G$29&amp;" / "&amp;Anmeldung!$J$29,"")</f>
        <v/>
      </c>
      <c r="AB16" t="str">
        <f>IF(AND(22&lt;&gt;14,Anmeldung!$D$29&lt;&gt;"",Anmeldung!$G$29&lt;&gt;Anmeldung!$G$21,(Anmeldung!$B$29&amp;": "&amp;Anmeldung!$D$29&amp;", "&amp;Anmeldung!$E$29&amp;" / "&amp;Anmeldung!$G$29&amp;" / "&amp;Anmeldung!$J$29)&lt;&gt;Anmeldung!$S$21),Anmeldung!$B$29&amp;": "&amp;Anmeldung!$D$29&amp;", "&amp;Anmeldung!$E$29&amp;" / "&amp;Anmeldung!$G$29&amp;" / "&amp;Anmeldung!$J$29,"")</f>
        <v/>
      </c>
      <c r="AC16" t="str">
        <f>IF(AND(22&lt;&gt;14,Anmeldung!$D$29&lt;&gt;"",(Anmeldung!$B$29&amp;": "&amp;Anmeldung!$D$29&amp;", "&amp;Anmeldung!$E$29&amp;" / "&amp;Anmeldung!$G$29&amp;" / "&amp;Anmeldung!$J$29)&lt;&gt;Anmeldung!$R$21),Anmeldung!$B$29&amp;": "&amp;Anmeldung!$D$29&amp;", "&amp;Anmeldung!$E$29&amp;" / "&amp;Anmeldung!$G$29&amp;" / "&amp;Anmeldung!$J$29,"")</f>
        <v/>
      </c>
      <c r="AD16" t="str">
        <f>IF(AND(21&lt;&gt;13,Anmeldung!$D$29&lt;&gt;"",Anmeldung!$U$29="Ja",Anmeldung!$G$29=Anmeldung!$G$21,Anmeldung!$J$29=Anmeldung!$J$21),Anmeldung!$B$29&amp;": "&amp;Anmeldung!$D$29&amp;", "&amp;Anmeldung!$E$29&amp;" / "&amp;Anmeldung!$G$29&amp;" / "&amp;Anmeldung!$J$29,"")</f>
        <v/>
      </c>
      <c r="AG16" t="str">
        <f>IF(AND(22&lt;&gt;15,Anmeldung!$D$29&lt;&gt;"",Anmeldung!$G$29=Anmeldung!$G$22,Anmeldung!$J$29=Anmeldung!$J$22),Anmeldung!$B$29&amp;": "&amp;Anmeldung!$D$29&amp;", "&amp;Anmeldung!$E$29&amp;" / "&amp;Anmeldung!$G$29&amp;" / "&amp;Anmeldung!$J$29,"")</f>
        <v/>
      </c>
      <c r="AH16" t="str">
        <f>IF(AND(22&lt;&gt;15,Anmeldung!$D$29&lt;&gt;"",Anmeldung!$G$29=Anmeldung!$G$22,Anmeldung!$J$29=Anmeldung!$J$22,(Anmeldung!$B$29&amp;": "&amp;Anmeldung!$D$29&amp;", "&amp;Anmeldung!$E$29&amp;" / "&amp;Anmeldung!$G$29&amp;" / "&amp;Anmeldung!$J$29)&lt;&gt;Anmeldung!$P$22),Anmeldung!$B$29&amp;": "&amp;Anmeldung!$D$29&amp;", "&amp;Anmeldung!$E$29&amp;" / "&amp;Anmeldung!$G$29&amp;" / "&amp;Anmeldung!$J$29,"")</f>
        <v/>
      </c>
      <c r="AI16" t="str">
        <f>IF(AND(22&lt;&gt;15,Anmeldung!$D$29&lt;&gt;"",Anmeldung!$G$29=Anmeldung!$G$22,Anmeldung!$J$29=Anmeldung!$J$22,(Anmeldung!$B$29&amp;": "&amp;Anmeldung!$D$29&amp;", "&amp;Anmeldung!$E$29&amp;" / "&amp;Anmeldung!$G$29&amp;" / "&amp;Anmeldung!$J$29)&lt;&gt;Anmeldung!$O$22),Anmeldung!$B$29&amp;": "&amp;Anmeldung!$D$29&amp;", "&amp;Anmeldung!$E$29&amp;" / "&amp;Anmeldung!$G$29&amp;" / "&amp;Anmeldung!$J$29,"")</f>
        <v/>
      </c>
      <c r="AJ16" t="str">
        <f>IF(AND(22&lt;&gt;15,Anmeldung!$D$29&lt;&gt;"",Anmeldung!$G$29&lt;&gt;Anmeldung!$G$22,(Anmeldung!$B$29&amp;": "&amp;Anmeldung!$D$29&amp;", "&amp;Anmeldung!$E$29&amp;" / "&amp;Anmeldung!$G$29&amp;" / "&amp;Anmeldung!$J$29)&lt;&gt;Anmeldung!$S$22),Anmeldung!$B$29&amp;": "&amp;Anmeldung!$D$29&amp;", "&amp;Anmeldung!$E$29&amp;" / "&amp;Anmeldung!$G$29&amp;" / "&amp;Anmeldung!$J$29,"")</f>
        <v/>
      </c>
      <c r="AK16" t="str">
        <f>IF(AND(22&lt;&gt;15,Anmeldung!$D$29&lt;&gt;"",(Anmeldung!$B$29&amp;": "&amp;Anmeldung!$D$29&amp;", "&amp;Anmeldung!$E$29&amp;" / "&amp;Anmeldung!$G$29&amp;" / "&amp;Anmeldung!$J$29)&lt;&gt;Anmeldung!$R$22),Anmeldung!$B$29&amp;": "&amp;Anmeldung!$D$29&amp;", "&amp;Anmeldung!$E$29&amp;" / "&amp;Anmeldung!$G$29&amp;" / "&amp;Anmeldung!$J$29,"")</f>
        <v/>
      </c>
      <c r="AL16" t="str">
        <f>IF(AND(21&lt;&gt;14,Anmeldung!$D$29&lt;&gt;"",Anmeldung!$U$29="Ja",Anmeldung!$G$29=Anmeldung!$G$22,Anmeldung!$J$29=Anmeldung!$J$22),Anmeldung!$B$29&amp;": "&amp;Anmeldung!$D$29&amp;", "&amp;Anmeldung!$E$29&amp;" / "&amp;Anmeldung!$G$29&amp;" / "&amp;Anmeldung!$J$29,"")</f>
        <v/>
      </c>
      <c r="AO16" t="str">
        <f>IF(AND(22&lt;&gt;16,Anmeldung!$D$29&lt;&gt;"",Anmeldung!$G$29=Anmeldung!$G$23,Anmeldung!$J$29=Anmeldung!$J$23),Anmeldung!$B$29&amp;": "&amp;Anmeldung!$D$29&amp;", "&amp;Anmeldung!$E$29&amp;" / "&amp;Anmeldung!$G$29&amp;" / "&amp;Anmeldung!$J$29,"")</f>
        <v/>
      </c>
      <c r="AP16" t="str">
        <f>IF(AND(22&lt;&gt;16,Anmeldung!$D$29&lt;&gt;"",Anmeldung!$G$29=Anmeldung!$G$23,Anmeldung!$J$29=Anmeldung!$J$23,(Anmeldung!$B$29&amp;": "&amp;Anmeldung!$D$29&amp;", "&amp;Anmeldung!$E$29&amp;" / "&amp;Anmeldung!$G$29&amp;" / "&amp;Anmeldung!$J$29)&lt;&gt;Anmeldung!$P$23),Anmeldung!$B$29&amp;": "&amp;Anmeldung!$D$29&amp;", "&amp;Anmeldung!$E$29&amp;" / "&amp;Anmeldung!$G$29&amp;" / "&amp;Anmeldung!$J$29,"")</f>
        <v/>
      </c>
      <c r="AQ16" t="str">
        <f>IF(AND(22&lt;&gt;16,Anmeldung!$D$29&lt;&gt;"",Anmeldung!$G$29=Anmeldung!$G$23,Anmeldung!$J$29=Anmeldung!$J$23,(Anmeldung!$B$29&amp;": "&amp;Anmeldung!$D$29&amp;", "&amp;Anmeldung!$E$29&amp;" / "&amp;Anmeldung!$G$29&amp;" / "&amp;Anmeldung!$J$29)&lt;&gt;Anmeldung!$O$23),Anmeldung!$B$29&amp;": "&amp;Anmeldung!$D$29&amp;", "&amp;Anmeldung!$E$29&amp;" / "&amp;Anmeldung!$G$29&amp;" / "&amp;Anmeldung!$J$29,"")</f>
        <v/>
      </c>
      <c r="AR16" t="str">
        <f>IF(AND(22&lt;&gt;16,Anmeldung!$D$29&lt;&gt;"",Anmeldung!$G$29&lt;&gt;Anmeldung!$G$23,(Anmeldung!$B$29&amp;": "&amp;Anmeldung!$D$29&amp;", "&amp;Anmeldung!$E$29&amp;" / "&amp;Anmeldung!$G$29&amp;" / "&amp;Anmeldung!$J$29)&lt;&gt;Anmeldung!$S$23),Anmeldung!$B$29&amp;": "&amp;Anmeldung!$D$29&amp;", "&amp;Anmeldung!$E$29&amp;" / "&amp;Anmeldung!$G$29&amp;" / "&amp;Anmeldung!$J$29,"")</f>
        <v/>
      </c>
      <c r="AS16" t="str">
        <f>IF(AND(22&lt;&gt;16,Anmeldung!$D$29&lt;&gt;"",(Anmeldung!$B$29&amp;": "&amp;Anmeldung!$D$29&amp;", "&amp;Anmeldung!$E$29&amp;" / "&amp;Anmeldung!$G$29&amp;" / "&amp;Anmeldung!$J$29)&lt;&gt;Anmeldung!$R$23),Anmeldung!$B$29&amp;": "&amp;Anmeldung!$D$29&amp;", "&amp;Anmeldung!$E$29&amp;" / "&amp;Anmeldung!$G$29&amp;" / "&amp;Anmeldung!$J$29,"")</f>
        <v/>
      </c>
      <c r="AT16" t="str">
        <f>IF(AND(21&lt;&gt;15,Anmeldung!$D$29&lt;&gt;"",Anmeldung!$U$29="Ja",Anmeldung!$G$29=Anmeldung!$G$23,Anmeldung!$J$29=Anmeldung!$J$23),Anmeldung!$B$29&amp;": "&amp;Anmeldung!$D$29&amp;", "&amp;Anmeldung!$E$29&amp;" / "&amp;Anmeldung!$G$29&amp;" / "&amp;Anmeldung!$J$29,"")</f>
        <v/>
      </c>
      <c r="AW16" t="str">
        <f>IF(AND(22&lt;&gt;17,Anmeldung!$D$29&lt;&gt;"",Anmeldung!$G$29=Anmeldung!$G$24,Anmeldung!$J$29=Anmeldung!$J$24),Anmeldung!$B$29&amp;": "&amp;Anmeldung!$D$29&amp;", "&amp;Anmeldung!$E$29&amp;" / "&amp;Anmeldung!$G$29&amp;" / "&amp;Anmeldung!$J$29,"")</f>
        <v/>
      </c>
      <c r="AX16" t="str">
        <f>IF(AND(22&lt;&gt;17,Anmeldung!$D$29&lt;&gt;"",Anmeldung!$G$29=Anmeldung!$G$24,Anmeldung!$J$29=Anmeldung!$J$24,(Anmeldung!$B$29&amp;": "&amp;Anmeldung!$D$29&amp;", "&amp;Anmeldung!$E$29&amp;" / "&amp;Anmeldung!$G$29&amp;" / "&amp;Anmeldung!$J$29)&lt;&gt;Anmeldung!$P$24),Anmeldung!$B$29&amp;": "&amp;Anmeldung!$D$29&amp;", "&amp;Anmeldung!$E$29&amp;" / "&amp;Anmeldung!$G$29&amp;" / "&amp;Anmeldung!$J$29,"")</f>
        <v/>
      </c>
      <c r="AY16" t="str">
        <f>IF(AND(22&lt;&gt;17,Anmeldung!$D$29&lt;&gt;"",Anmeldung!$G$29=Anmeldung!$G$24,Anmeldung!$J$29=Anmeldung!$J$24,(Anmeldung!$B$29&amp;": "&amp;Anmeldung!$D$29&amp;", "&amp;Anmeldung!$E$29&amp;" / "&amp;Anmeldung!$G$29&amp;" / "&amp;Anmeldung!$J$29)&lt;&gt;Anmeldung!$O$24),Anmeldung!$B$29&amp;": "&amp;Anmeldung!$D$29&amp;", "&amp;Anmeldung!$E$29&amp;" / "&amp;Anmeldung!$G$29&amp;" / "&amp;Anmeldung!$J$29,"")</f>
        <v/>
      </c>
      <c r="AZ16" t="str">
        <f>IF(AND(22&lt;&gt;17,Anmeldung!$D$29&lt;&gt;"",Anmeldung!$G$29&lt;&gt;Anmeldung!$G$24,(Anmeldung!$B$29&amp;": "&amp;Anmeldung!$D$29&amp;", "&amp;Anmeldung!$E$29&amp;" / "&amp;Anmeldung!$G$29&amp;" / "&amp;Anmeldung!$J$29)&lt;&gt;Anmeldung!$S$24),Anmeldung!$B$29&amp;": "&amp;Anmeldung!$D$29&amp;", "&amp;Anmeldung!$E$29&amp;" / "&amp;Anmeldung!$G$29&amp;" / "&amp;Anmeldung!$J$29,"")</f>
        <v/>
      </c>
      <c r="BA16" t="str">
        <f>IF(AND(22&lt;&gt;17,Anmeldung!$D$29&lt;&gt;"",(Anmeldung!$B$29&amp;": "&amp;Anmeldung!$D$29&amp;", "&amp;Anmeldung!$E$29&amp;" / "&amp;Anmeldung!$G$29&amp;" / "&amp;Anmeldung!$J$29)&lt;&gt;Anmeldung!$R$24),Anmeldung!$B$29&amp;": "&amp;Anmeldung!$D$29&amp;", "&amp;Anmeldung!$E$29&amp;" / "&amp;Anmeldung!$G$29&amp;" / "&amp;Anmeldung!$J$29,"")</f>
        <v/>
      </c>
      <c r="BB16" t="str">
        <f>IF(AND(21&lt;&gt;16,Anmeldung!$D$29&lt;&gt;"",Anmeldung!$U$29="Ja",Anmeldung!$G$29=Anmeldung!$G$24,Anmeldung!$J$29=Anmeldung!$J$24),Anmeldung!$B$29&amp;": "&amp;Anmeldung!$D$29&amp;", "&amp;Anmeldung!$E$29&amp;" / "&amp;Anmeldung!$G$29&amp;" / "&amp;Anmeldung!$J$29,"")</f>
        <v/>
      </c>
      <c r="BE16" t="str">
        <f>IF(AND(22&lt;&gt;18,Anmeldung!$D$29&lt;&gt;"",Anmeldung!$G$29=Anmeldung!$G$25,Anmeldung!$J$29=Anmeldung!$J$25),Anmeldung!$B$29&amp;": "&amp;Anmeldung!$D$29&amp;", "&amp;Anmeldung!$E$29&amp;" / "&amp;Anmeldung!$G$29&amp;" / "&amp;Anmeldung!$J$29,"")</f>
        <v/>
      </c>
      <c r="BF16" t="str">
        <f>IF(AND(22&lt;&gt;18,Anmeldung!$D$29&lt;&gt;"",Anmeldung!$G$29=Anmeldung!$G$25,Anmeldung!$J$29=Anmeldung!$J$25,(Anmeldung!$B$29&amp;": "&amp;Anmeldung!$D$29&amp;", "&amp;Anmeldung!$E$29&amp;" / "&amp;Anmeldung!$G$29&amp;" / "&amp;Anmeldung!$J$29)&lt;&gt;Anmeldung!$P$25),Anmeldung!$B$29&amp;": "&amp;Anmeldung!$D$29&amp;", "&amp;Anmeldung!$E$29&amp;" / "&amp;Anmeldung!$G$29&amp;" / "&amp;Anmeldung!$J$29,"")</f>
        <v/>
      </c>
      <c r="BG16" t="str">
        <f>IF(AND(22&lt;&gt;18,Anmeldung!$D$29&lt;&gt;"",Anmeldung!$G$29=Anmeldung!$G$25,Anmeldung!$J$29=Anmeldung!$J$25,(Anmeldung!$B$29&amp;": "&amp;Anmeldung!$D$29&amp;", "&amp;Anmeldung!$E$29&amp;" / "&amp;Anmeldung!$G$29&amp;" / "&amp;Anmeldung!$J$29)&lt;&gt;Anmeldung!$O$25),Anmeldung!$B$29&amp;": "&amp;Anmeldung!$D$29&amp;", "&amp;Anmeldung!$E$29&amp;" / "&amp;Anmeldung!$G$29&amp;" / "&amp;Anmeldung!$J$29,"")</f>
        <v/>
      </c>
      <c r="BH16" t="str">
        <f>IF(AND(22&lt;&gt;18,Anmeldung!$D$29&lt;&gt;"",Anmeldung!$G$29&lt;&gt;Anmeldung!$G$25,(Anmeldung!$B$29&amp;": "&amp;Anmeldung!$D$29&amp;", "&amp;Anmeldung!$E$29&amp;" / "&amp;Anmeldung!$G$29&amp;" / "&amp;Anmeldung!$J$29)&lt;&gt;Anmeldung!$S$25),Anmeldung!$B$29&amp;": "&amp;Anmeldung!$D$29&amp;", "&amp;Anmeldung!$E$29&amp;" / "&amp;Anmeldung!$G$29&amp;" / "&amp;Anmeldung!$J$29,"")</f>
        <v/>
      </c>
      <c r="BI16" t="str">
        <f>IF(AND(22&lt;&gt;18,Anmeldung!$D$29&lt;&gt;"",(Anmeldung!$B$29&amp;": "&amp;Anmeldung!$D$29&amp;", "&amp;Anmeldung!$E$29&amp;" / "&amp;Anmeldung!$G$29&amp;" / "&amp;Anmeldung!$J$29)&lt;&gt;Anmeldung!$R$25),Anmeldung!$B$29&amp;": "&amp;Anmeldung!$D$29&amp;", "&amp;Anmeldung!$E$29&amp;" / "&amp;Anmeldung!$G$29&amp;" / "&amp;Anmeldung!$J$29,"")</f>
        <v/>
      </c>
      <c r="BJ16" t="str">
        <f>IF(AND(21&lt;&gt;17,Anmeldung!$D$29&lt;&gt;"",Anmeldung!$U$29="Ja",Anmeldung!$G$29=Anmeldung!$G$25,Anmeldung!$J$29=Anmeldung!$J$25),Anmeldung!$B$29&amp;": "&amp;Anmeldung!$D$29&amp;", "&amp;Anmeldung!$E$29&amp;" / "&amp;Anmeldung!$G$29&amp;" / "&amp;Anmeldung!$J$29,"")</f>
        <v/>
      </c>
      <c r="BM16" t="str">
        <f>IF(AND(22&lt;&gt;19,Anmeldung!$D$29&lt;&gt;"",Anmeldung!$G$29=Anmeldung!$G$26,Anmeldung!$J$29=Anmeldung!$J$26),Anmeldung!$B$29&amp;": "&amp;Anmeldung!$D$29&amp;", "&amp;Anmeldung!$E$29&amp;" / "&amp;Anmeldung!$G$29&amp;" / "&amp;Anmeldung!$J$29,"")</f>
        <v/>
      </c>
      <c r="BN16" t="str">
        <f>IF(AND(22&lt;&gt;19,Anmeldung!$D$29&lt;&gt;"",Anmeldung!$G$29=Anmeldung!$G$26,Anmeldung!$J$29=Anmeldung!$J$26,(Anmeldung!$B$29&amp;": "&amp;Anmeldung!$D$29&amp;", "&amp;Anmeldung!$E$29&amp;" / "&amp;Anmeldung!$G$29&amp;" / "&amp;Anmeldung!$J$29)&lt;&gt;Anmeldung!$P$26),Anmeldung!$B$29&amp;": "&amp;Anmeldung!$D$29&amp;", "&amp;Anmeldung!$E$29&amp;" / "&amp;Anmeldung!$G$29&amp;" / "&amp;Anmeldung!$J$29,"")</f>
        <v/>
      </c>
      <c r="BO16" t="str">
        <f>IF(AND(22&lt;&gt;19,Anmeldung!$D$29&lt;&gt;"",Anmeldung!$G$29=Anmeldung!$G$26,Anmeldung!$J$29=Anmeldung!$J$26,(Anmeldung!$B$29&amp;": "&amp;Anmeldung!$D$29&amp;", "&amp;Anmeldung!$E$29&amp;" / "&amp;Anmeldung!$G$29&amp;" / "&amp;Anmeldung!$J$29)&lt;&gt;Anmeldung!$O$26),Anmeldung!$B$29&amp;": "&amp;Anmeldung!$D$29&amp;", "&amp;Anmeldung!$E$29&amp;" / "&amp;Anmeldung!$G$29&amp;" / "&amp;Anmeldung!$J$29,"")</f>
        <v/>
      </c>
      <c r="BP16" t="str">
        <f>IF(AND(22&lt;&gt;19,Anmeldung!$D$29&lt;&gt;"",Anmeldung!$G$29&lt;&gt;Anmeldung!$G$26,(Anmeldung!$B$29&amp;": "&amp;Anmeldung!$D$29&amp;", "&amp;Anmeldung!$E$29&amp;" / "&amp;Anmeldung!$G$29&amp;" / "&amp;Anmeldung!$J$29)&lt;&gt;Anmeldung!$S$26),Anmeldung!$B$29&amp;": "&amp;Anmeldung!$D$29&amp;", "&amp;Anmeldung!$E$29&amp;" / "&amp;Anmeldung!$G$29&amp;" / "&amp;Anmeldung!$J$29,"")</f>
        <v/>
      </c>
      <c r="BQ16" t="str">
        <f>IF(AND(22&lt;&gt;19,Anmeldung!$D$29&lt;&gt;"",(Anmeldung!$B$29&amp;": "&amp;Anmeldung!$D$29&amp;", "&amp;Anmeldung!$E$29&amp;" / "&amp;Anmeldung!$G$29&amp;" / "&amp;Anmeldung!$J$29)&lt;&gt;Anmeldung!$R$26),Anmeldung!$B$29&amp;": "&amp;Anmeldung!$D$29&amp;", "&amp;Anmeldung!$E$29&amp;" / "&amp;Anmeldung!$G$29&amp;" / "&amp;Anmeldung!$J$29,"")</f>
        <v/>
      </c>
      <c r="BR16" t="str">
        <f>IF(AND(21&lt;&gt;18,Anmeldung!$D$29&lt;&gt;"",Anmeldung!$U$29="Ja",Anmeldung!$G$29=Anmeldung!$G$26,Anmeldung!$J$29=Anmeldung!$J$26),Anmeldung!$B$29&amp;": "&amp;Anmeldung!$D$29&amp;", "&amp;Anmeldung!$E$29&amp;" / "&amp;Anmeldung!$G$29&amp;" / "&amp;Anmeldung!$J$29,"")</f>
        <v/>
      </c>
      <c r="BU16" t="str">
        <f>IF(AND(22&lt;&gt;20,Anmeldung!$D$29&lt;&gt;"",Anmeldung!$G$29=Anmeldung!$G$27,Anmeldung!$J$29=Anmeldung!$J$27),Anmeldung!$B$29&amp;": "&amp;Anmeldung!$D$29&amp;", "&amp;Anmeldung!$E$29&amp;" / "&amp;Anmeldung!$G$29&amp;" / "&amp;Anmeldung!$J$29,"")</f>
        <v/>
      </c>
      <c r="BV16" t="str">
        <f>IF(AND(22&lt;&gt;20,Anmeldung!$D$29&lt;&gt;"",Anmeldung!$G$29=Anmeldung!$G$27,Anmeldung!$J$29=Anmeldung!$J$27,(Anmeldung!$B$29&amp;": "&amp;Anmeldung!$D$29&amp;", "&amp;Anmeldung!$E$29&amp;" / "&amp;Anmeldung!$G$29&amp;" / "&amp;Anmeldung!$J$29)&lt;&gt;Anmeldung!$P$27),Anmeldung!$B$29&amp;": "&amp;Anmeldung!$D$29&amp;", "&amp;Anmeldung!$E$29&amp;" / "&amp;Anmeldung!$G$29&amp;" / "&amp;Anmeldung!$J$29,"")</f>
        <v/>
      </c>
      <c r="BW16" t="str">
        <f>IF(AND(22&lt;&gt;20,Anmeldung!$D$29&lt;&gt;"",Anmeldung!$G$29=Anmeldung!$G$27,Anmeldung!$J$29=Anmeldung!$J$27,(Anmeldung!$B$29&amp;": "&amp;Anmeldung!$D$29&amp;", "&amp;Anmeldung!$E$29&amp;" / "&amp;Anmeldung!$G$29&amp;" / "&amp;Anmeldung!$J$29)&lt;&gt;Anmeldung!$O$27),Anmeldung!$B$29&amp;": "&amp;Anmeldung!$D$29&amp;", "&amp;Anmeldung!$E$29&amp;" / "&amp;Anmeldung!$G$29&amp;" / "&amp;Anmeldung!$J$29,"")</f>
        <v/>
      </c>
      <c r="BX16" t="str">
        <f>IF(AND(22&lt;&gt;20,Anmeldung!$D$29&lt;&gt;"",Anmeldung!$G$29&lt;&gt;Anmeldung!$G$27,(Anmeldung!$B$29&amp;": "&amp;Anmeldung!$D$29&amp;", "&amp;Anmeldung!$E$29&amp;" / "&amp;Anmeldung!$G$29&amp;" / "&amp;Anmeldung!$J$29)&lt;&gt;Anmeldung!$S$27),Anmeldung!$B$29&amp;": "&amp;Anmeldung!$D$29&amp;", "&amp;Anmeldung!$E$29&amp;" / "&amp;Anmeldung!$G$29&amp;" / "&amp;Anmeldung!$J$29,"")</f>
        <v/>
      </c>
      <c r="BY16" t="str">
        <f>IF(AND(22&lt;&gt;20,Anmeldung!$D$29&lt;&gt;"",(Anmeldung!$B$29&amp;": "&amp;Anmeldung!$D$29&amp;", "&amp;Anmeldung!$E$29&amp;" / "&amp;Anmeldung!$G$29&amp;" / "&amp;Anmeldung!$J$29)&lt;&gt;Anmeldung!$R$27),Anmeldung!$B$29&amp;": "&amp;Anmeldung!$D$29&amp;", "&amp;Anmeldung!$E$29&amp;" / "&amp;Anmeldung!$G$29&amp;" / "&amp;Anmeldung!$J$29,"")</f>
        <v/>
      </c>
      <c r="BZ16" t="str">
        <f>IF(AND(21&lt;&gt;19,Anmeldung!$D$29&lt;&gt;"",Anmeldung!$U$29="Ja",Anmeldung!$G$29=Anmeldung!$G$27,Anmeldung!$J$29=Anmeldung!$J$27),Anmeldung!$B$29&amp;": "&amp;Anmeldung!$D$29&amp;", "&amp;Anmeldung!$E$29&amp;" / "&amp;Anmeldung!$G$29&amp;" / "&amp;Anmeldung!$J$29,"")</f>
        <v/>
      </c>
      <c r="CC16" t="str">
        <f>IF(AND(22&lt;&gt;21,Anmeldung!$D$29&lt;&gt;"",Anmeldung!$G$29=Anmeldung!$G$28,Anmeldung!$J$29=Anmeldung!$J$28),Anmeldung!$B$29&amp;": "&amp;Anmeldung!$D$29&amp;", "&amp;Anmeldung!$E$29&amp;" / "&amp;Anmeldung!$G$29&amp;" / "&amp;Anmeldung!$J$29,"")</f>
        <v/>
      </c>
      <c r="CD16" t="str">
        <f>IF(AND(22&lt;&gt;21,Anmeldung!$D$29&lt;&gt;"",Anmeldung!$G$29=Anmeldung!$G$28,Anmeldung!$J$29=Anmeldung!$J$28,(Anmeldung!$B$29&amp;": "&amp;Anmeldung!$D$29&amp;", "&amp;Anmeldung!$E$29&amp;" / "&amp;Anmeldung!$G$29&amp;" / "&amp;Anmeldung!$J$29)&lt;&gt;Anmeldung!$P$28),Anmeldung!$B$29&amp;": "&amp;Anmeldung!$D$29&amp;", "&amp;Anmeldung!$E$29&amp;" / "&amp;Anmeldung!$G$29&amp;" / "&amp;Anmeldung!$J$29,"")</f>
        <v/>
      </c>
      <c r="CE16" t="str">
        <f>IF(AND(22&lt;&gt;21,Anmeldung!$D$29&lt;&gt;"",Anmeldung!$G$29=Anmeldung!$G$28,Anmeldung!$J$29=Anmeldung!$J$28,(Anmeldung!$B$29&amp;": "&amp;Anmeldung!$D$29&amp;", "&amp;Anmeldung!$E$29&amp;" / "&amp;Anmeldung!$G$29&amp;" / "&amp;Anmeldung!$J$29)&lt;&gt;Anmeldung!$O$28),Anmeldung!$B$29&amp;": "&amp;Anmeldung!$D$29&amp;", "&amp;Anmeldung!$E$29&amp;" / "&amp;Anmeldung!$G$29&amp;" / "&amp;Anmeldung!$J$29,"")</f>
        <v/>
      </c>
      <c r="CF16" t="str">
        <f>IF(AND(22&lt;&gt;21,Anmeldung!$D$29&lt;&gt;"",Anmeldung!$G$29&lt;&gt;Anmeldung!$G$28,(Anmeldung!$B$29&amp;": "&amp;Anmeldung!$D$29&amp;", "&amp;Anmeldung!$E$29&amp;" / "&amp;Anmeldung!$G$29&amp;" / "&amp;Anmeldung!$J$29)&lt;&gt;Anmeldung!$S$28),Anmeldung!$B$29&amp;": "&amp;Anmeldung!$D$29&amp;", "&amp;Anmeldung!$E$29&amp;" / "&amp;Anmeldung!$G$29&amp;" / "&amp;Anmeldung!$J$29,"")</f>
        <v/>
      </c>
      <c r="CG16" t="str">
        <f>IF(AND(22&lt;&gt;21,Anmeldung!$D$29&lt;&gt;"",(Anmeldung!$B$29&amp;": "&amp;Anmeldung!$D$29&amp;", "&amp;Anmeldung!$E$29&amp;" / "&amp;Anmeldung!$G$29&amp;" / "&amp;Anmeldung!$J$29)&lt;&gt;Anmeldung!$R$28),Anmeldung!$B$29&amp;": "&amp;Anmeldung!$D$29&amp;", "&amp;Anmeldung!$E$29&amp;" / "&amp;Anmeldung!$G$29&amp;" / "&amp;Anmeldung!$J$29,"")</f>
        <v/>
      </c>
      <c r="CH16" t="str">
        <f>IF(AND(21&lt;&gt;20,Anmeldung!$D$29&lt;&gt;"",Anmeldung!$U$29="Ja",Anmeldung!$G$29=Anmeldung!$G$28,Anmeldung!$J$29=Anmeldung!$J$28),Anmeldung!$B$29&amp;": "&amp;Anmeldung!$D$29&amp;", "&amp;Anmeldung!$E$29&amp;" / "&amp;Anmeldung!$G$29&amp;" / "&amp;Anmeldung!$J$29,"")</f>
        <v/>
      </c>
      <c r="CK16" t="str">
        <f>IF(AND(22&lt;&gt;22,Anmeldung!$D$29&lt;&gt;"",Anmeldung!$G$29=Anmeldung!$G$29,Anmeldung!$J$29=Anmeldung!$J$29),Anmeldung!$B$29&amp;": "&amp;Anmeldung!$D$29&amp;", "&amp;Anmeldung!$E$29&amp;" / "&amp;Anmeldung!$G$29&amp;" / "&amp;Anmeldung!$J$29,"")</f>
        <v/>
      </c>
      <c r="CL16" t="str">
        <f>IF(AND(22&lt;&gt;22,Anmeldung!$D$29&lt;&gt;"",Anmeldung!$G$29=Anmeldung!$G$29,Anmeldung!$J$29=Anmeldung!$J$29,(Anmeldung!$B$29&amp;": "&amp;Anmeldung!$D$29&amp;", "&amp;Anmeldung!$E$29&amp;" / "&amp;Anmeldung!$G$29&amp;" / "&amp;Anmeldung!$J$29)&lt;&gt;Anmeldung!$P$29),Anmeldung!$B$29&amp;": "&amp;Anmeldung!$D$29&amp;", "&amp;Anmeldung!$E$29&amp;" / "&amp;Anmeldung!$G$29&amp;" / "&amp;Anmeldung!$J$29,"")</f>
        <v/>
      </c>
      <c r="CM16" t="str">
        <f>IF(AND(22&lt;&gt;22,Anmeldung!$D$29&lt;&gt;"",Anmeldung!$G$29=Anmeldung!$G$29,Anmeldung!$J$29=Anmeldung!$J$29,(Anmeldung!$B$29&amp;": "&amp;Anmeldung!$D$29&amp;", "&amp;Anmeldung!$E$29&amp;" / "&amp;Anmeldung!$G$29&amp;" / "&amp;Anmeldung!$J$29)&lt;&gt;Anmeldung!$O$29),Anmeldung!$B$29&amp;": "&amp;Anmeldung!$D$29&amp;", "&amp;Anmeldung!$E$29&amp;" / "&amp;Anmeldung!$G$29&amp;" / "&amp;Anmeldung!$J$29,"")</f>
        <v/>
      </c>
      <c r="CN16" t="str">
        <f>IF(AND(22&lt;&gt;22,Anmeldung!$D$29&lt;&gt;"",Anmeldung!$G$29&lt;&gt;Anmeldung!$G$29,(Anmeldung!$B$29&amp;": "&amp;Anmeldung!$D$29&amp;", "&amp;Anmeldung!$E$29&amp;" / "&amp;Anmeldung!$G$29&amp;" / "&amp;Anmeldung!$J$29)&lt;&gt;Anmeldung!$S$29),Anmeldung!$B$29&amp;": "&amp;Anmeldung!$D$29&amp;", "&amp;Anmeldung!$E$29&amp;" / "&amp;Anmeldung!$G$29&amp;" / "&amp;Anmeldung!$J$29,"")</f>
        <v/>
      </c>
      <c r="CO16" t="str">
        <f>IF(AND(22&lt;&gt;22,Anmeldung!$D$29&lt;&gt;"",(Anmeldung!$B$29&amp;": "&amp;Anmeldung!$D$29&amp;", "&amp;Anmeldung!$E$29&amp;" / "&amp;Anmeldung!$G$29&amp;" / "&amp;Anmeldung!$J$29)&lt;&gt;Anmeldung!$R$29),Anmeldung!$B$29&amp;": "&amp;Anmeldung!$D$29&amp;", "&amp;Anmeldung!$E$29&amp;" / "&amp;Anmeldung!$G$29&amp;" / "&amp;Anmeldung!$J$29,"")</f>
        <v/>
      </c>
      <c r="CP16" t="str">
        <f>IF(AND(21&lt;&gt;21,Anmeldung!$D$29&lt;&gt;"",Anmeldung!$U$29="Ja",Anmeldung!$G$29=Anmeldung!$G$29,Anmeldung!$J$29=Anmeldung!$J$29),Anmeldung!$B$29&amp;": "&amp;Anmeldung!$D$29&amp;", "&amp;Anmeldung!$E$29&amp;" / "&amp;Anmeldung!$G$29&amp;" / "&amp;Anmeldung!$J$29,"")</f>
        <v/>
      </c>
      <c r="CS16" t="str">
        <f>IF(AND(22&lt;&gt;23,Anmeldung!$D$29&lt;&gt;"",Anmeldung!$G$29=Anmeldung!$G$30,Anmeldung!$J$29=Anmeldung!$J$30),Anmeldung!$B$29&amp;": "&amp;Anmeldung!$D$29&amp;", "&amp;Anmeldung!$E$29&amp;" / "&amp;Anmeldung!$G$29&amp;" / "&amp;Anmeldung!$J$29,"")</f>
        <v/>
      </c>
      <c r="CT16" t="str">
        <f>IF(AND(22&lt;&gt;23,Anmeldung!$D$29&lt;&gt;"",Anmeldung!$G$29=Anmeldung!$G$30,Anmeldung!$J$29=Anmeldung!$J$30,(Anmeldung!$B$29&amp;": "&amp;Anmeldung!$D$29&amp;", "&amp;Anmeldung!$E$29&amp;" / "&amp;Anmeldung!$G$29&amp;" / "&amp;Anmeldung!$J$29)&lt;&gt;Anmeldung!$P$30),Anmeldung!$B$29&amp;": "&amp;Anmeldung!$D$29&amp;", "&amp;Anmeldung!$E$29&amp;" / "&amp;Anmeldung!$G$29&amp;" / "&amp;Anmeldung!$J$29,"")</f>
        <v/>
      </c>
      <c r="CU16" t="str">
        <f>IF(AND(22&lt;&gt;23,Anmeldung!$D$29&lt;&gt;"",Anmeldung!$G$29=Anmeldung!$G$30,Anmeldung!$J$29=Anmeldung!$J$30,(Anmeldung!$B$29&amp;": "&amp;Anmeldung!$D$29&amp;", "&amp;Anmeldung!$E$29&amp;" / "&amp;Anmeldung!$G$29&amp;" / "&amp;Anmeldung!$J$29)&lt;&gt;Anmeldung!$O$30),Anmeldung!$B$29&amp;": "&amp;Anmeldung!$D$29&amp;", "&amp;Anmeldung!$E$29&amp;" / "&amp;Anmeldung!$G$29&amp;" / "&amp;Anmeldung!$J$29,"")</f>
        <v/>
      </c>
      <c r="CV16" t="str">
        <f>IF(AND(22&lt;&gt;23,Anmeldung!$D$29&lt;&gt;"",Anmeldung!$G$29&lt;&gt;Anmeldung!$G$30,(Anmeldung!$B$29&amp;": "&amp;Anmeldung!$D$29&amp;", "&amp;Anmeldung!$E$29&amp;" / "&amp;Anmeldung!$G$29&amp;" / "&amp;Anmeldung!$J$29)&lt;&gt;Anmeldung!$S$30),Anmeldung!$B$29&amp;": "&amp;Anmeldung!$D$29&amp;", "&amp;Anmeldung!$E$29&amp;" / "&amp;Anmeldung!$G$29&amp;" / "&amp;Anmeldung!$J$29,"")</f>
        <v/>
      </c>
      <c r="CW16" t="str">
        <f>IF(AND(22&lt;&gt;23,Anmeldung!$D$29&lt;&gt;"",(Anmeldung!$B$29&amp;": "&amp;Anmeldung!$D$29&amp;", "&amp;Anmeldung!$E$29&amp;" / "&amp;Anmeldung!$G$29&amp;" / "&amp;Anmeldung!$J$29)&lt;&gt;Anmeldung!$R$30),Anmeldung!$B$29&amp;": "&amp;Anmeldung!$D$29&amp;", "&amp;Anmeldung!$E$29&amp;" / "&amp;Anmeldung!$G$29&amp;" / "&amp;Anmeldung!$J$29,"")</f>
        <v/>
      </c>
      <c r="CX16" t="str">
        <f>IF(AND(21&lt;&gt;22,Anmeldung!$D$29&lt;&gt;"",Anmeldung!$U$29="Ja",Anmeldung!$G$29=Anmeldung!$G$30,Anmeldung!$J$29=Anmeldung!$J$30),Anmeldung!$B$29&amp;": "&amp;Anmeldung!$D$29&amp;", "&amp;Anmeldung!$E$29&amp;" / "&amp;Anmeldung!$G$29&amp;" / "&amp;Anmeldung!$J$29,"")</f>
        <v/>
      </c>
      <c r="DA16" t="str">
        <f>IF(AND(22&lt;&gt;24,Anmeldung!$D$29&lt;&gt;"",Anmeldung!$G$29=Anmeldung!$G$31,Anmeldung!$J$29=Anmeldung!$J$31),Anmeldung!$B$29&amp;": "&amp;Anmeldung!$D$29&amp;", "&amp;Anmeldung!$E$29&amp;" / "&amp;Anmeldung!$G$29&amp;" / "&amp;Anmeldung!$J$29,"")</f>
        <v/>
      </c>
      <c r="DB16" t="str">
        <f>IF(AND(22&lt;&gt;24,Anmeldung!$D$29&lt;&gt;"",Anmeldung!$G$29=Anmeldung!$G$31,Anmeldung!$J$29=Anmeldung!$J$31,(Anmeldung!$B$29&amp;": "&amp;Anmeldung!$D$29&amp;", "&amp;Anmeldung!$E$29&amp;" / "&amp;Anmeldung!$G$29&amp;" / "&amp;Anmeldung!$J$29)&lt;&gt;Anmeldung!$P$31),Anmeldung!$B$29&amp;": "&amp;Anmeldung!$D$29&amp;", "&amp;Anmeldung!$E$29&amp;" / "&amp;Anmeldung!$G$29&amp;" / "&amp;Anmeldung!$J$29,"")</f>
        <v/>
      </c>
      <c r="DC16" t="str">
        <f>IF(AND(22&lt;&gt;24,Anmeldung!$D$29&lt;&gt;"",Anmeldung!$G$29=Anmeldung!$G$31,Anmeldung!$J$29=Anmeldung!$J$31,(Anmeldung!$B$29&amp;": "&amp;Anmeldung!$D$29&amp;", "&amp;Anmeldung!$E$29&amp;" / "&amp;Anmeldung!$G$29&amp;" / "&amp;Anmeldung!$J$29)&lt;&gt;Anmeldung!$O$31),Anmeldung!$B$29&amp;": "&amp;Anmeldung!$D$29&amp;", "&amp;Anmeldung!$E$29&amp;" / "&amp;Anmeldung!$G$29&amp;" / "&amp;Anmeldung!$J$29,"")</f>
        <v/>
      </c>
      <c r="DD16" t="str">
        <f>IF(AND(22&lt;&gt;24,Anmeldung!$D$29&lt;&gt;"",Anmeldung!$G$29&lt;&gt;Anmeldung!$G$31,(Anmeldung!$B$29&amp;": "&amp;Anmeldung!$D$29&amp;", "&amp;Anmeldung!$E$29&amp;" / "&amp;Anmeldung!$G$29&amp;" / "&amp;Anmeldung!$J$29)&lt;&gt;Anmeldung!$S$31),Anmeldung!$B$29&amp;": "&amp;Anmeldung!$D$29&amp;", "&amp;Anmeldung!$E$29&amp;" / "&amp;Anmeldung!$G$29&amp;" / "&amp;Anmeldung!$J$29,"")</f>
        <v/>
      </c>
      <c r="DE16" t="str">
        <f>IF(AND(22&lt;&gt;24,Anmeldung!$D$29&lt;&gt;"",(Anmeldung!$B$29&amp;": "&amp;Anmeldung!$D$29&amp;", "&amp;Anmeldung!$E$29&amp;" / "&amp;Anmeldung!$G$29&amp;" / "&amp;Anmeldung!$J$29)&lt;&gt;Anmeldung!$R$31),Anmeldung!$B$29&amp;": "&amp;Anmeldung!$D$29&amp;", "&amp;Anmeldung!$E$29&amp;" / "&amp;Anmeldung!$G$29&amp;" / "&amp;Anmeldung!$J$29,"")</f>
        <v/>
      </c>
      <c r="DF16" t="str">
        <f>IF(AND(21&lt;&gt;23,Anmeldung!$D$29&lt;&gt;"",Anmeldung!$U$29="Ja",Anmeldung!$G$29=Anmeldung!$G$31,Anmeldung!$J$29=Anmeldung!$J$31),Anmeldung!$B$29&amp;": "&amp;Anmeldung!$D$29&amp;", "&amp;Anmeldung!$E$29&amp;" / "&amp;Anmeldung!$G$29&amp;" / "&amp;Anmeldung!$J$29,"")</f>
        <v/>
      </c>
      <c r="DI16" t="str">
        <f>IF(AND(22&lt;&gt;25,Anmeldung!$D$29&lt;&gt;"",Anmeldung!$G$29=Anmeldung!$G$32,Anmeldung!$J$29=Anmeldung!$J$32),Anmeldung!$B$29&amp;": "&amp;Anmeldung!$D$29&amp;", "&amp;Anmeldung!$E$29&amp;" / "&amp;Anmeldung!$G$29&amp;" / "&amp;Anmeldung!$J$29,"")</f>
        <v/>
      </c>
      <c r="DJ16" t="str">
        <f>IF(AND(22&lt;&gt;25,Anmeldung!$D$29&lt;&gt;"",Anmeldung!$G$29=Anmeldung!$G$32,Anmeldung!$J$29=Anmeldung!$J$32,(Anmeldung!$B$29&amp;": "&amp;Anmeldung!$D$29&amp;", "&amp;Anmeldung!$E$29&amp;" / "&amp;Anmeldung!$G$29&amp;" / "&amp;Anmeldung!$J$29)&lt;&gt;Anmeldung!$P$32),Anmeldung!$B$29&amp;": "&amp;Anmeldung!$D$29&amp;", "&amp;Anmeldung!$E$29&amp;" / "&amp;Anmeldung!$G$29&amp;" / "&amp;Anmeldung!$J$29,"")</f>
        <v/>
      </c>
      <c r="DK16" t="str">
        <f>IF(AND(22&lt;&gt;25,Anmeldung!$D$29&lt;&gt;"",Anmeldung!$G$29=Anmeldung!$G$32,Anmeldung!$J$29=Anmeldung!$J$32,(Anmeldung!$B$29&amp;": "&amp;Anmeldung!$D$29&amp;", "&amp;Anmeldung!$E$29&amp;" / "&amp;Anmeldung!$G$29&amp;" / "&amp;Anmeldung!$J$29)&lt;&gt;Anmeldung!$O$32),Anmeldung!$B$29&amp;": "&amp;Anmeldung!$D$29&amp;", "&amp;Anmeldung!$E$29&amp;" / "&amp;Anmeldung!$G$29&amp;" / "&amp;Anmeldung!$J$29,"")</f>
        <v/>
      </c>
      <c r="DL16" t="str">
        <f>IF(AND(22&lt;&gt;25,Anmeldung!$D$29&lt;&gt;"",Anmeldung!$G$29&lt;&gt;Anmeldung!$G$32,(Anmeldung!$B$29&amp;": "&amp;Anmeldung!$D$29&amp;", "&amp;Anmeldung!$E$29&amp;" / "&amp;Anmeldung!$G$29&amp;" / "&amp;Anmeldung!$J$29)&lt;&gt;Anmeldung!$S$32),Anmeldung!$B$29&amp;": "&amp;Anmeldung!$D$29&amp;", "&amp;Anmeldung!$E$29&amp;" / "&amp;Anmeldung!$G$29&amp;" / "&amp;Anmeldung!$J$29,"")</f>
        <v/>
      </c>
      <c r="DM16" t="str">
        <f>IF(AND(22&lt;&gt;25,Anmeldung!$D$29&lt;&gt;"",(Anmeldung!$B$29&amp;": "&amp;Anmeldung!$D$29&amp;", "&amp;Anmeldung!$E$29&amp;" / "&amp;Anmeldung!$G$29&amp;" / "&amp;Anmeldung!$J$29)&lt;&gt;Anmeldung!$R$32),Anmeldung!$B$29&amp;": "&amp;Anmeldung!$D$29&amp;", "&amp;Anmeldung!$E$29&amp;" / "&amp;Anmeldung!$G$29&amp;" / "&amp;Anmeldung!$J$29,"")</f>
        <v/>
      </c>
      <c r="DN16" t="str">
        <f>IF(AND(21&lt;&gt;24,Anmeldung!$D$29&lt;&gt;"",Anmeldung!$U$29="Ja",Anmeldung!$G$29=Anmeldung!$G$32,Anmeldung!$J$29=Anmeldung!$J$32),Anmeldung!$B$29&amp;": "&amp;Anmeldung!$D$29&amp;", "&amp;Anmeldung!$E$29&amp;" / "&amp;Anmeldung!$G$29&amp;" / "&amp;Anmeldung!$J$29,"")</f>
        <v/>
      </c>
      <c r="DQ16" t="str">
        <f>IF(AND(22&lt;&gt;26,Anmeldung!$D$29&lt;&gt;"",Anmeldung!$G$29=Anmeldung!$G$33,Anmeldung!$J$29=Anmeldung!$J$33),Anmeldung!$B$29&amp;": "&amp;Anmeldung!$D$29&amp;", "&amp;Anmeldung!$E$29&amp;" / "&amp;Anmeldung!$G$29&amp;" / "&amp;Anmeldung!$J$29,"")</f>
        <v/>
      </c>
      <c r="DR16" t="str">
        <f>IF(AND(22&lt;&gt;26,Anmeldung!$D$29&lt;&gt;"",Anmeldung!$G$29=Anmeldung!$G$33,Anmeldung!$J$29=Anmeldung!$J$33,(Anmeldung!$B$29&amp;": "&amp;Anmeldung!$D$29&amp;", "&amp;Anmeldung!$E$29&amp;" / "&amp;Anmeldung!$G$29&amp;" / "&amp;Anmeldung!$J$29)&lt;&gt;Anmeldung!$P$33),Anmeldung!$B$29&amp;": "&amp;Anmeldung!$D$29&amp;", "&amp;Anmeldung!$E$29&amp;" / "&amp;Anmeldung!$G$29&amp;" / "&amp;Anmeldung!$J$29,"")</f>
        <v/>
      </c>
      <c r="DS16" t="str">
        <f>IF(AND(22&lt;&gt;26,Anmeldung!$D$29&lt;&gt;"",Anmeldung!$G$29=Anmeldung!$G$33,Anmeldung!$J$29=Anmeldung!$J$33,(Anmeldung!$B$29&amp;": "&amp;Anmeldung!$D$29&amp;", "&amp;Anmeldung!$E$29&amp;" / "&amp;Anmeldung!$G$29&amp;" / "&amp;Anmeldung!$J$29)&lt;&gt;Anmeldung!$O$33),Anmeldung!$B$29&amp;": "&amp;Anmeldung!$D$29&amp;", "&amp;Anmeldung!$E$29&amp;" / "&amp;Anmeldung!$G$29&amp;" / "&amp;Anmeldung!$J$29,"")</f>
        <v/>
      </c>
      <c r="DT16" t="str">
        <f>IF(AND(22&lt;&gt;26,Anmeldung!$D$29&lt;&gt;"",Anmeldung!$G$29&lt;&gt;Anmeldung!$G$33,(Anmeldung!$B$29&amp;": "&amp;Anmeldung!$D$29&amp;", "&amp;Anmeldung!$E$29&amp;" / "&amp;Anmeldung!$G$29&amp;" / "&amp;Anmeldung!$J$29)&lt;&gt;Anmeldung!$S$33),Anmeldung!$B$29&amp;": "&amp;Anmeldung!$D$29&amp;", "&amp;Anmeldung!$E$29&amp;" / "&amp;Anmeldung!$G$29&amp;" / "&amp;Anmeldung!$J$29,"")</f>
        <v/>
      </c>
      <c r="DU16" t="str">
        <f>IF(AND(22&lt;&gt;26,Anmeldung!$D$29&lt;&gt;"",(Anmeldung!$B$29&amp;": "&amp;Anmeldung!$D$29&amp;", "&amp;Anmeldung!$E$29&amp;" / "&amp;Anmeldung!$G$29&amp;" / "&amp;Anmeldung!$J$29)&lt;&gt;Anmeldung!$R$33),Anmeldung!$B$29&amp;": "&amp;Anmeldung!$D$29&amp;", "&amp;Anmeldung!$E$29&amp;" / "&amp;Anmeldung!$G$29&amp;" / "&amp;Anmeldung!$J$29,"")</f>
        <v/>
      </c>
      <c r="DV16" t="str">
        <f>IF(AND(21&lt;&gt;25,Anmeldung!$D$29&lt;&gt;"",Anmeldung!$U$29="Ja",Anmeldung!$G$29=Anmeldung!$G$33,Anmeldung!$J$29=Anmeldung!$J$33),Anmeldung!$B$29&amp;": "&amp;Anmeldung!$D$29&amp;", "&amp;Anmeldung!$E$29&amp;" / "&amp;Anmeldung!$G$29&amp;" / "&amp;Anmeldung!$J$29,"")</f>
        <v/>
      </c>
      <c r="DY16" t="str">
        <f>IF(AND(22&lt;&gt;27,Anmeldung!$D$29&lt;&gt;"",Anmeldung!$G$29=Anmeldung!$G$34,Anmeldung!$J$29=Anmeldung!$J$34),Anmeldung!$B$29&amp;": "&amp;Anmeldung!$D$29&amp;", "&amp;Anmeldung!$E$29&amp;" / "&amp;Anmeldung!$G$29&amp;" / "&amp;Anmeldung!$J$29,"")</f>
        <v/>
      </c>
      <c r="DZ16" t="str">
        <f>IF(AND(22&lt;&gt;27,Anmeldung!$D$29&lt;&gt;"",Anmeldung!$G$29=Anmeldung!$G$34,Anmeldung!$J$29=Anmeldung!$J$34,(Anmeldung!$B$29&amp;": "&amp;Anmeldung!$D$29&amp;", "&amp;Anmeldung!$E$29&amp;" / "&amp;Anmeldung!$G$29&amp;" / "&amp;Anmeldung!$J$29)&lt;&gt;Anmeldung!$P$34),Anmeldung!$B$29&amp;": "&amp;Anmeldung!$D$29&amp;", "&amp;Anmeldung!$E$29&amp;" / "&amp;Anmeldung!$G$29&amp;" / "&amp;Anmeldung!$J$29,"")</f>
        <v/>
      </c>
      <c r="EA16" t="str">
        <f>IF(AND(22&lt;&gt;27,Anmeldung!$D$29&lt;&gt;"",Anmeldung!$G$29=Anmeldung!$G$34,Anmeldung!$J$29=Anmeldung!$J$34,(Anmeldung!$B$29&amp;": "&amp;Anmeldung!$D$29&amp;", "&amp;Anmeldung!$E$29&amp;" / "&amp;Anmeldung!$G$29&amp;" / "&amp;Anmeldung!$J$29)&lt;&gt;Anmeldung!$O$34),Anmeldung!$B$29&amp;": "&amp;Anmeldung!$D$29&amp;", "&amp;Anmeldung!$E$29&amp;" / "&amp;Anmeldung!$G$29&amp;" / "&amp;Anmeldung!$J$29,"")</f>
        <v/>
      </c>
      <c r="EB16" t="str">
        <f>IF(AND(22&lt;&gt;27,Anmeldung!$D$29&lt;&gt;"",Anmeldung!$G$29&lt;&gt;Anmeldung!$G$34,(Anmeldung!$B$29&amp;": "&amp;Anmeldung!$D$29&amp;", "&amp;Anmeldung!$E$29&amp;" / "&amp;Anmeldung!$G$29&amp;" / "&amp;Anmeldung!$J$29)&lt;&gt;Anmeldung!$S$34),Anmeldung!$B$29&amp;": "&amp;Anmeldung!$D$29&amp;", "&amp;Anmeldung!$E$29&amp;" / "&amp;Anmeldung!$G$29&amp;" / "&amp;Anmeldung!$J$29,"")</f>
        <v/>
      </c>
      <c r="EC16" t="str">
        <f>IF(AND(22&lt;&gt;27,Anmeldung!$D$29&lt;&gt;"",(Anmeldung!$B$29&amp;": "&amp;Anmeldung!$D$29&amp;", "&amp;Anmeldung!$E$29&amp;" / "&amp;Anmeldung!$G$29&amp;" / "&amp;Anmeldung!$J$29)&lt;&gt;Anmeldung!$R$34),Anmeldung!$B$29&amp;": "&amp;Anmeldung!$D$29&amp;", "&amp;Anmeldung!$E$29&amp;" / "&amp;Anmeldung!$G$29&amp;" / "&amp;Anmeldung!$J$29,"")</f>
        <v/>
      </c>
      <c r="ED16" t="str">
        <f>IF(AND(21&lt;&gt;26,Anmeldung!$D$29&lt;&gt;"",Anmeldung!$U$29="Ja",Anmeldung!$G$29=Anmeldung!$G$34,Anmeldung!$J$29=Anmeldung!$J$34),Anmeldung!$B$29&amp;": "&amp;Anmeldung!$D$29&amp;", "&amp;Anmeldung!$E$29&amp;" / "&amp;Anmeldung!$G$29&amp;" / "&amp;Anmeldung!$J$29,"")</f>
        <v/>
      </c>
      <c r="EG16" t="str">
        <f>IF(AND(22&lt;&gt;28,Anmeldung!$D$29&lt;&gt;"",Anmeldung!$G$29=Anmeldung!$G$35,Anmeldung!$J$29=Anmeldung!$J$35),Anmeldung!$B$29&amp;": "&amp;Anmeldung!$D$29&amp;", "&amp;Anmeldung!$E$29&amp;" / "&amp;Anmeldung!$G$29&amp;" / "&amp;Anmeldung!$J$29,"")</f>
        <v/>
      </c>
      <c r="EH16" t="str">
        <f>IF(AND(22&lt;&gt;28,Anmeldung!$D$29&lt;&gt;"",Anmeldung!$G$29=Anmeldung!$G$35,Anmeldung!$J$29=Anmeldung!$J$35,(Anmeldung!$B$29&amp;": "&amp;Anmeldung!$D$29&amp;", "&amp;Anmeldung!$E$29&amp;" / "&amp;Anmeldung!$G$29&amp;" / "&amp;Anmeldung!$J$29)&lt;&gt;Anmeldung!$P$35),Anmeldung!$B$29&amp;": "&amp;Anmeldung!$D$29&amp;", "&amp;Anmeldung!$E$29&amp;" / "&amp;Anmeldung!$G$29&amp;" / "&amp;Anmeldung!$J$29,"")</f>
        <v/>
      </c>
      <c r="EI16" t="str">
        <f>IF(AND(22&lt;&gt;28,Anmeldung!$D$29&lt;&gt;"",Anmeldung!$G$29=Anmeldung!$G$35,Anmeldung!$J$29=Anmeldung!$J$35,(Anmeldung!$B$29&amp;": "&amp;Anmeldung!$D$29&amp;", "&amp;Anmeldung!$E$29&amp;" / "&amp;Anmeldung!$G$29&amp;" / "&amp;Anmeldung!$J$29)&lt;&gt;Anmeldung!$O$35),Anmeldung!$B$29&amp;": "&amp;Anmeldung!$D$29&amp;", "&amp;Anmeldung!$E$29&amp;" / "&amp;Anmeldung!$G$29&amp;" / "&amp;Anmeldung!$J$29,"")</f>
        <v/>
      </c>
      <c r="EJ16" t="str">
        <f>IF(AND(22&lt;&gt;28,Anmeldung!$D$29&lt;&gt;"",Anmeldung!$G$29&lt;&gt;Anmeldung!$G$35,(Anmeldung!$B$29&amp;": "&amp;Anmeldung!$D$29&amp;", "&amp;Anmeldung!$E$29&amp;" / "&amp;Anmeldung!$G$29&amp;" / "&amp;Anmeldung!$J$29)&lt;&gt;Anmeldung!$S$35),Anmeldung!$B$29&amp;": "&amp;Anmeldung!$D$29&amp;", "&amp;Anmeldung!$E$29&amp;" / "&amp;Anmeldung!$G$29&amp;" / "&amp;Anmeldung!$J$29,"")</f>
        <v/>
      </c>
      <c r="EK16" t="str">
        <f>IF(AND(22&lt;&gt;28,Anmeldung!$D$29&lt;&gt;"",(Anmeldung!$B$29&amp;": "&amp;Anmeldung!$D$29&amp;", "&amp;Anmeldung!$E$29&amp;" / "&amp;Anmeldung!$G$29&amp;" / "&amp;Anmeldung!$J$29)&lt;&gt;Anmeldung!$R$35),Anmeldung!$B$29&amp;": "&amp;Anmeldung!$D$29&amp;", "&amp;Anmeldung!$E$29&amp;" / "&amp;Anmeldung!$G$29&amp;" / "&amp;Anmeldung!$J$29,"")</f>
        <v/>
      </c>
      <c r="EL16" t="str">
        <f>IF(AND(21&lt;&gt;27,Anmeldung!$D$29&lt;&gt;"",Anmeldung!$U$29="Ja",Anmeldung!$G$29=Anmeldung!$G$35,Anmeldung!$J$29=Anmeldung!$J$35),Anmeldung!$B$29&amp;": "&amp;Anmeldung!$D$29&amp;", "&amp;Anmeldung!$E$29&amp;" / "&amp;Anmeldung!$G$29&amp;" / "&amp;Anmeldung!$J$29,"")</f>
        <v/>
      </c>
      <c r="EO16" t="str">
        <f>IF(AND(22&lt;&gt;29,Anmeldung!$D$29&lt;&gt;"",Anmeldung!$G$29=Anmeldung!$G$36,Anmeldung!$J$29=Anmeldung!$J$36),Anmeldung!$B$29&amp;": "&amp;Anmeldung!$D$29&amp;", "&amp;Anmeldung!$E$29&amp;" / "&amp;Anmeldung!$G$29&amp;" / "&amp;Anmeldung!$J$29,"")</f>
        <v/>
      </c>
      <c r="EP16" t="str">
        <f>IF(AND(22&lt;&gt;29,Anmeldung!$D$29&lt;&gt;"",Anmeldung!$G$29=Anmeldung!$G$36,Anmeldung!$J$29=Anmeldung!$J$36,(Anmeldung!$B$29&amp;": "&amp;Anmeldung!$D$29&amp;", "&amp;Anmeldung!$E$29&amp;" / "&amp;Anmeldung!$G$29&amp;" / "&amp;Anmeldung!$J$29)&lt;&gt;Anmeldung!$P$36),Anmeldung!$B$29&amp;": "&amp;Anmeldung!$D$29&amp;", "&amp;Anmeldung!$E$29&amp;" / "&amp;Anmeldung!$G$29&amp;" / "&amp;Anmeldung!$J$29,"")</f>
        <v/>
      </c>
      <c r="EQ16" t="str">
        <f>IF(AND(22&lt;&gt;29,Anmeldung!$D$29&lt;&gt;"",Anmeldung!$G$29=Anmeldung!$G$36,Anmeldung!$J$29=Anmeldung!$J$36,(Anmeldung!$B$29&amp;": "&amp;Anmeldung!$D$29&amp;", "&amp;Anmeldung!$E$29&amp;" / "&amp;Anmeldung!$G$29&amp;" / "&amp;Anmeldung!$J$29)&lt;&gt;Anmeldung!$O$36),Anmeldung!$B$29&amp;": "&amp;Anmeldung!$D$29&amp;", "&amp;Anmeldung!$E$29&amp;" / "&amp;Anmeldung!$G$29&amp;" / "&amp;Anmeldung!$J$29,"")</f>
        <v/>
      </c>
      <c r="ER16" t="str">
        <f>IF(AND(22&lt;&gt;29,Anmeldung!$D$29&lt;&gt;"",Anmeldung!$G$29&lt;&gt;Anmeldung!$G$36,(Anmeldung!$B$29&amp;": "&amp;Anmeldung!$D$29&amp;", "&amp;Anmeldung!$E$29&amp;" / "&amp;Anmeldung!$G$29&amp;" / "&amp;Anmeldung!$J$29)&lt;&gt;Anmeldung!$S$36),Anmeldung!$B$29&amp;": "&amp;Anmeldung!$D$29&amp;", "&amp;Anmeldung!$E$29&amp;" / "&amp;Anmeldung!$G$29&amp;" / "&amp;Anmeldung!$J$29,"")</f>
        <v/>
      </c>
      <c r="ES16" t="str">
        <f>IF(AND(22&lt;&gt;29,Anmeldung!$D$29&lt;&gt;"",(Anmeldung!$B$29&amp;": "&amp;Anmeldung!$D$29&amp;", "&amp;Anmeldung!$E$29&amp;" / "&amp;Anmeldung!$G$29&amp;" / "&amp;Anmeldung!$J$29)&lt;&gt;Anmeldung!$R$36),Anmeldung!$B$29&amp;": "&amp;Anmeldung!$D$29&amp;", "&amp;Anmeldung!$E$29&amp;" / "&amp;Anmeldung!$G$29&amp;" / "&amp;Anmeldung!$J$29,"")</f>
        <v/>
      </c>
      <c r="ET16" t="str">
        <f>IF(AND(21&lt;&gt;28,Anmeldung!$D$29&lt;&gt;"",Anmeldung!$U$29="Ja",Anmeldung!$G$29=Anmeldung!$G$36,Anmeldung!$J$29=Anmeldung!$J$36),Anmeldung!$B$29&amp;": "&amp;Anmeldung!$D$29&amp;", "&amp;Anmeldung!$E$29&amp;" / "&amp;Anmeldung!$G$29&amp;" / "&amp;Anmeldung!$J$29,"")</f>
        <v/>
      </c>
      <c r="EW16" t="str">
        <f>IF(AND(22&lt;&gt;30,Anmeldung!$D$29&lt;&gt;"",Anmeldung!$G$29=Anmeldung!$G$37,Anmeldung!$J$29=Anmeldung!$J$37),Anmeldung!$B$29&amp;": "&amp;Anmeldung!$D$29&amp;", "&amp;Anmeldung!$E$29&amp;" / "&amp;Anmeldung!$G$29&amp;" / "&amp;Anmeldung!$J$29,"")</f>
        <v/>
      </c>
      <c r="EX16" t="str">
        <f>IF(AND(22&lt;&gt;30,Anmeldung!$D$29&lt;&gt;"",Anmeldung!$G$29=Anmeldung!$G$37,Anmeldung!$J$29=Anmeldung!$J$37,(Anmeldung!$B$29&amp;": "&amp;Anmeldung!$D$29&amp;", "&amp;Anmeldung!$E$29&amp;" / "&amp;Anmeldung!$G$29&amp;" / "&amp;Anmeldung!$J$29)&lt;&gt;Anmeldung!$P$37),Anmeldung!$B$29&amp;": "&amp;Anmeldung!$D$29&amp;", "&amp;Anmeldung!$E$29&amp;" / "&amp;Anmeldung!$G$29&amp;" / "&amp;Anmeldung!$J$29,"")</f>
        <v/>
      </c>
      <c r="EY16" t="str">
        <f>IF(AND(22&lt;&gt;30,Anmeldung!$D$29&lt;&gt;"",Anmeldung!$G$29=Anmeldung!$G$37,Anmeldung!$J$29=Anmeldung!$J$37,(Anmeldung!$B$29&amp;": "&amp;Anmeldung!$D$29&amp;", "&amp;Anmeldung!$E$29&amp;" / "&amp;Anmeldung!$G$29&amp;" / "&amp;Anmeldung!$J$29)&lt;&gt;Anmeldung!$O$37),Anmeldung!$B$29&amp;": "&amp;Anmeldung!$D$29&amp;", "&amp;Anmeldung!$E$29&amp;" / "&amp;Anmeldung!$G$29&amp;" / "&amp;Anmeldung!$J$29,"")</f>
        <v/>
      </c>
      <c r="EZ16" t="str">
        <f>IF(AND(22&lt;&gt;30,Anmeldung!$D$29&lt;&gt;"",Anmeldung!$G$29&lt;&gt;Anmeldung!$G$37,(Anmeldung!$B$29&amp;": "&amp;Anmeldung!$D$29&amp;", "&amp;Anmeldung!$E$29&amp;" / "&amp;Anmeldung!$G$29&amp;" / "&amp;Anmeldung!$J$29)&lt;&gt;Anmeldung!$S$37),Anmeldung!$B$29&amp;": "&amp;Anmeldung!$D$29&amp;", "&amp;Anmeldung!$E$29&amp;" / "&amp;Anmeldung!$G$29&amp;" / "&amp;Anmeldung!$J$29,"")</f>
        <v/>
      </c>
      <c r="FA16" t="str">
        <f>IF(AND(22&lt;&gt;30,Anmeldung!$D$29&lt;&gt;"",(Anmeldung!$B$29&amp;": "&amp;Anmeldung!$D$29&amp;", "&amp;Anmeldung!$E$29&amp;" / "&amp;Anmeldung!$G$29&amp;" / "&amp;Anmeldung!$J$29)&lt;&gt;Anmeldung!$R$37),Anmeldung!$B$29&amp;": "&amp;Anmeldung!$D$29&amp;", "&amp;Anmeldung!$E$29&amp;" / "&amp;Anmeldung!$G$29&amp;" / "&amp;Anmeldung!$J$29,"")</f>
        <v/>
      </c>
      <c r="FB16" t="str">
        <f>IF(AND(21&lt;&gt;29,Anmeldung!$D$29&lt;&gt;"",Anmeldung!$U$29="Ja",Anmeldung!$G$29=Anmeldung!$G$37,Anmeldung!$J$29=Anmeldung!$J$37),Anmeldung!$B$29&amp;": "&amp;Anmeldung!$D$29&amp;", "&amp;Anmeldung!$E$29&amp;" / "&amp;Anmeldung!$G$29&amp;" / "&amp;Anmeldung!$J$29,"")</f>
        <v/>
      </c>
      <c r="FE16" t="str">
        <f>IF(AND(22&lt;&gt;31,Anmeldung!$D$29&lt;&gt;"",Anmeldung!$G$29=Anmeldung!$G$38,Anmeldung!$J$29=Anmeldung!$J$38),Anmeldung!$B$29&amp;": "&amp;Anmeldung!$D$29&amp;", "&amp;Anmeldung!$E$29&amp;" / "&amp;Anmeldung!$G$29&amp;" / "&amp;Anmeldung!$J$29,"")</f>
        <v/>
      </c>
      <c r="FF16" t="str">
        <f>IF(AND(22&lt;&gt;31,Anmeldung!$D$29&lt;&gt;"",Anmeldung!$G$29=Anmeldung!$G$38,Anmeldung!$J$29=Anmeldung!$J$38,(Anmeldung!$B$29&amp;": "&amp;Anmeldung!$D$29&amp;", "&amp;Anmeldung!$E$29&amp;" / "&amp;Anmeldung!$G$29&amp;" / "&amp;Anmeldung!$J$29)&lt;&gt;Anmeldung!$P$38),Anmeldung!$B$29&amp;": "&amp;Anmeldung!$D$29&amp;", "&amp;Anmeldung!$E$29&amp;" / "&amp;Anmeldung!$G$29&amp;" / "&amp;Anmeldung!$J$29,"")</f>
        <v/>
      </c>
      <c r="FG16" t="str">
        <f>IF(AND(22&lt;&gt;31,Anmeldung!$D$29&lt;&gt;"",Anmeldung!$G$29=Anmeldung!$G$38,Anmeldung!$J$29=Anmeldung!$J$38,(Anmeldung!$B$29&amp;": "&amp;Anmeldung!$D$29&amp;", "&amp;Anmeldung!$E$29&amp;" / "&amp;Anmeldung!$G$29&amp;" / "&amp;Anmeldung!$J$29)&lt;&gt;Anmeldung!$O$38),Anmeldung!$B$29&amp;": "&amp;Anmeldung!$D$29&amp;", "&amp;Anmeldung!$E$29&amp;" / "&amp;Anmeldung!$G$29&amp;" / "&amp;Anmeldung!$J$29,"")</f>
        <v/>
      </c>
      <c r="FH16" t="str">
        <f>IF(AND(22&lt;&gt;31,Anmeldung!$D$29&lt;&gt;"",Anmeldung!$G$29&lt;&gt;Anmeldung!$G$38,(Anmeldung!$B$29&amp;": "&amp;Anmeldung!$D$29&amp;", "&amp;Anmeldung!$E$29&amp;" / "&amp;Anmeldung!$G$29&amp;" / "&amp;Anmeldung!$J$29)&lt;&gt;Anmeldung!$S$38),Anmeldung!$B$29&amp;": "&amp;Anmeldung!$D$29&amp;", "&amp;Anmeldung!$E$29&amp;" / "&amp;Anmeldung!$G$29&amp;" / "&amp;Anmeldung!$J$29,"")</f>
        <v/>
      </c>
      <c r="FI16" t="str">
        <f>IF(AND(22&lt;&gt;31,Anmeldung!$D$29&lt;&gt;"",(Anmeldung!$B$29&amp;": "&amp;Anmeldung!$D$29&amp;", "&amp;Anmeldung!$E$29&amp;" / "&amp;Anmeldung!$G$29&amp;" / "&amp;Anmeldung!$J$29)&lt;&gt;Anmeldung!$R$38),Anmeldung!$B$29&amp;": "&amp;Anmeldung!$D$29&amp;", "&amp;Anmeldung!$E$29&amp;" / "&amp;Anmeldung!$G$29&amp;" / "&amp;Anmeldung!$J$29,"")</f>
        <v/>
      </c>
      <c r="FJ16" t="str">
        <f>IF(AND(21&lt;&gt;30,Anmeldung!$D$29&lt;&gt;"",Anmeldung!$U$29="Ja",Anmeldung!$G$29=Anmeldung!$G$38,Anmeldung!$J$29=Anmeldung!$J$38),Anmeldung!$B$29&amp;": "&amp;Anmeldung!$D$29&amp;", "&amp;Anmeldung!$E$29&amp;" / "&amp;Anmeldung!$G$29&amp;" / "&amp;Anmeldung!$J$29,"")</f>
        <v/>
      </c>
      <c r="FM16" t="str">
        <f>IF(AND(22&lt;&gt;32,Anmeldung!$D$29&lt;&gt;"",Anmeldung!$G$29=Anmeldung!$G$39,Anmeldung!$J$29=Anmeldung!$J$39),Anmeldung!$B$29&amp;": "&amp;Anmeldung!$D$29&amp;", "&amp;Anmeldung!$E$29&amp;" / "&amp;Anmeldung!$G$29&amp;" / "&amp;Anmeldung!$J$29,"")</f>
        <v/>
      </c>
      <c r="FN16" t="str">
        <f>IF(AND(22&lt;&gt;32,Anmeldung!$D$29&lt;&gt;"",Anmeldung!$G$29=Anmeldung!$G$39,Anmeldung!$J$29=Anmeldung!$J$39,(Anmeldung!$B$29&amp;": "&amp;Anmeldung!$D$29&amp;", "&amp;Anmeldung!$E$29&amp;" / "&amp;Anmeldung!$G$29&amp;" / "&amp;Anmeldung!$J$29)&lt;&gt;Anmeldung!$P$39),Anmeldung!$B$29&amp;": "&amp;Anmeldung!$D$29&amp;", "&amp;Anmeldung!$E$29&amp;" / "&amp;Anmeldung!$G$29&amp;" / "&amp;Anmeldung!$J$29,"")</f>
        <v/>
      </c>
      <c r="FO16" t="str">
        <f>IF(AND(22&lt;&gt;32,Anmeldung!$D$29&lt;&gt;"",Anmeldung!$G$29=Anmeldung!$G$39,Anmeldung!$J$29=Anmeldung!$J$39,(Anmeldung!$B$29&amp;": "&amp;Anmeldung!$D$29&amp;", "&amp;Anmeldung!$E$29&amp;" / "&amp;Anmeldung!$G$29&amp;" / "&amp;Anmeldung!$J$29)&lt;&gt;Anmeldung!$O$39),Anmeldung!$B$29&amp;": "&amp;Anmeldung!$D$29&amp;", "&amp;Anmeldung!$E$29&amp;" / "&amp;Anmeldung!$G$29&amp;" / "&amp;Anmeldung!$J$29,"")</f>
        <v/>
      </c>
      <c r="FP16" t="str">
        <f>IF(AND(22&lt;&gt;32,Anmeldung!$D$29&lt;&gt;"",Anmeldung!$G$29&lt;&gt;Anmeldung!$G$39,(Anmeldung!$B$29&amp;": "&amp;Anmeldung!$D$29&amp;", "&amp;Anmeldung!$E$29&amp;" / "&amp;Anmeldung!$G$29&amp;" / "&amp;Anmeldung!$J$29)&lt;&gt;Anmeldung!$S$39),Anmeldung!$B$29&amp;": "&amp;Anmeldung!$D$29&amp;", "&amp;Anmeldung!$E$29&amp;" / "&amp;Anmeldung!$G$29&amp;" / "&amp;Anmeldung!$J$29,"")</f>
        <v/>
      </c>
      <c r="FQ16" t="str">
        <f>IF(AND(22&lt;&gt;32,Anmeldung!$D$29&lt;&gt;"",(Anmeldung!$B$29&amp;": "&amp;Anmeldung!$D$29&amp;", "&amp;Anmeldung!$E$29&amp;" / "&amp;Anmeldung!$G$29&amp;" / "&amp;Anmeldung!$J$29)&lt;&gt;Anmeldung!$R$39),Anmeldung!$B$29&amp;": "&amp;Anmeldung!$D$29&amp;", "&amp;Anmeldung!$E$29&amp;" / "&amp;Anmeldung!$G$29&amp;" / "&amp;Anmeldung!$J$29,"")</f>
        <v/>
      </c>
      <c r="FR16" t="str">
        <f>IF(AND(21&lt;&gt;31,Anmeldung!$D$29&lt;&gt;"",Anmeldung!$U$29="Ja",Anmeldung!$G$29=Anmeldung!$G$39,Anmeldung!$J$29=Anmeldung!$J$39),Anmeldung!$B$29&amp;": "&amp;Anmeldung!$D$29&amp;", "&amp;Anmeldung!$E$29&amp;" / "&amp;Anmeldung!$G$29&amp;" / "&amp;Anmeldung!$J$29,"")</f>
        <v/>
      </c>
      <c r="FU16" t="str">
        <f>IF(AND(22&lt;&gt;33,Anmeldung!$D$29&lt;&gt;"",Anmeldung!$G$29=Anmeldung!$G$40,Anmeldung!$J$29=Anmeldung!$J$40),Anmeldung!$B$29&amp;": "&amp;Anmeldung!$D$29&amp;", "&amp;Anmeldung!$E$29&amp;" / "&amp;Anmeldung!$G$29&amp;" / "&amp;Anmeldung!$J$29,"")</f>
        <v/>
      </c>
      <c r="FV16" t="str">
        <f>IF(AND(22&lt;&gt;33,Anmeldung!$D$29&lt;&gt;"",Anmeldung!$G$29=Anmeldung!$G$40,Anmeldung!$J$29=Anmeldung!$J$40,(Anmeldung!$B$29&amp;": "&amp;Anmeldung!$D$29&amp;", "&amp;Anmeldung!$E$29&amp;" / "&amp;Anmeldung!$G$29&amp;" / "&amp;Anmeldung!$J$29)&lt;&gt;Anmeldung!$P$40),Anmeldung!$B$29&amp;": "&amp;Anmeldung!$D$29&amp;", "&amp;Anmeldung!$E$29&amp;" / "&amp;Anmeldung!$G$29&amp;" / "&amp;Anmeldung!$J$29,"")</f>
        <v/>
      </c>
      <c r="FW16" t="str">
        <f>IF(AND(22&lt;&gt;33,Anmeldung!$D$29&lt;&gt;"",Anmeldung!$G$29=Anmeldung!$G$40,Anmeldung!$J$29=Anmeldung!$J$40,(Anmeldung!$B$29&amp;": "&amp;Anmeldung!$D$29&amp;", "&amp;Anmeldung!$E$29&amp;" / "&amp;Anmeldung!$G$29&amp;" / "&amp;Anmeldung!$J$29)&lt;&gt;Anmeldung!$O$40),Anmeldung!$B$29&amp;": "&amp;Anmeldung!$D$29&amp;", "&amp;Anmeldung!$E$29&amp;" / "&amp;Anmeldung!$G$29&amp;" / "&amp;Anmeldung!$J$29,"")</f>
        <v/>
      </c>
      <c r="FX16" t="str">
        <f>IF(AND(22&lt;&gt;33,Anmeldung!$D$29&lt;&gt;"",Anmeldung!$G$29&lt;&gt;Anmeldung!$G$40,(Anmeldung!$B$29&amp;": "&amp;Anmeldung!$D$29&amp;", "&amp;Anmeldung!$E$29&amp;" / "&amp;Anmeldung!$G$29&amp;" / "&amp;Anmeldung!$J$29)&lt;&gt;Anmeldung!$S$40),Anmeldung!$B$29&amp;": "&amp;Anmeldung!$D$29&amp;", "&amp;Anmeldung!$E$29&amp;" / "&amp;Anmeldung!$G$29&amp;" / "&amp;Anmeldung!$J$29,"")</f>
        <v/>
      </c>
      <c r="FY16" t="str">
        <f>IF(AND(22&lt;&gt;33,Anmeldung!$D$29&lt;&gt;"",(Anmeldung!$B$29&amp;": "&amp;Anmeldung!$D$29&amp;", "&amp;Anmeldung!$E$29&amp;" / "&amp;Anmeldung!$G$29&amp;" / "&amp;Anmeldung!$J$29)&lt;&gt;Anmeldung!$R$40),Anmeldung!$B$29&amp;": "&amp;Anmeldung!$D$29&amp;", "&amp;Anmeldung!$E$29&amp;" / "&amp;Anmeldung!$G$29&amp;" / "&amp;Anmeldung!$J$29,"")</f>
        <v/>
      </c>
      <c r="FZ16" t="str">
        <f>IF(AND(21&lt;&gt;32,Anmeldung!$D$29&lt;&gt;"",Anmeldung!$U$29="Ja",Anmeldung!$G$29=Anmeldung!$G$40,Anmeldung!$J$29=Anmeldung!$J$40),Anmeldung!$B$29&amp;": "&amp;Anmeldung!$D$29&amp;", "&amp;Anmeldung!$E$29&amp;" / "&amp;Anmeldung!$G$29&amp;" / "&amp;Anmeldung!$J$29,"")</f>
        <v/>
      </c>
      <c r="GC16" t="str">
        <f>IF(AND(22&lt;&gt;34,Anmeldung!$D$29&lt;&gt;"",Anmeldung!$G$29=Anmeldung!$G$41,Anmeldung!$J$29=Anmeldung!$J$41),Anmeldung!$B$29&amp;": "&amp;Anmeldung!$D$29&amp;", "&amp;Anmeldung!$E$29&amp;" / "&amp;Anmeldung!$G$29&amp;" / "&amp;Anmeldung!$J$29,"")</f>
        <v/>
      </c>
      <c r="GD16" t="str">
        <f>IF(AND(22&lt;&gt;34,Anmeldung!$D$29&lt;&gt;"",Anmeldung!$G$29=Anmeldung!$G$41,Anmeldung!$J$29=Anmeldung!$J$41,(Anmeldung!$B$29&amp;": "&amp;Anmeldung!$D$29&amp;", "&amp;Anmeldung!$E$29&amp;" / "&amp;Anmeldung!$G$29&amp;" / "&amp;Anmeldung!$J$29)&lt;&gt;Anmeldung!$P$41),Anmeldung!$B$29&amp;": "&amp;Anmeldung!$D$29&amp;", "&amp;Anmeldung!$E$29&amp;" / "&amp;Anmeldung!$G$29&amp;" / "&amp;Anmeldung!$J$29,"")</f>
        <v/>
      </c>
      <c r="GE16" t="str">
        <f>IF(AND(22&lt;&gt;34,Anmeldung!$D$29&lt;&gt;"",Anmeldung!$G$29=Anmeldung!$G$41,Anmeldung!$J$29=Anmeldung!$J$41,(Anmeldung!$B$29&amp;": "&amp;Anmeldung!$D$29&amp;", "&amp;Anmeldung!$E$29&amp;" / "&amp;Anmeldung!$G$29&amp;" / "&amp;Anmeldung!$J$29)&lt;&gt;Anmeldung!$O$41),Anmeldung!$B$29&amp;": "&amp;Anmeldung!$D$29&amp;", "&amp;Anmeldung!$E$29&amp;" / "&amp;Anmeldung!$G$29&amp;" / "&amp;Anmeldung!$J$29,"")</f>
        <v/>
      </c>
      <c r="GF16" t="str">
        <f>IF(AND(22&lt;&gt;34,Anmeldung!$D$29&lt;&gt;"",Anmeldung!$G$29&lt;&gt;Anmeldung!$G$41,(Anmeldung!$B$29&amp;": "&amp;Anmeldung!$D$29&amp;", "&amp;Anmeldung!$E$29&amp;" / "&amp;Anmeldung!$G$29&amp;" / "&amp;Anmeldung!$J$29)&lt;&gt;Anmeldung!$S$41),Anmeldung!$B$29&amp;": "&amp;Anmeldung!$D$29&amp;", "&amp;Anmeldung!$E$29&amp;" / "&amp;Anmeldung!$G$29&amp;" / "&amp;Anmeldung!$J$29,"")</f>
        <v/>
      </c>
      <c r="GG16" t="str">
        <f>IF(AND(22&lt;&gt;34,Anmeldung!$D$29&lt;&gt;"",(Anmeldung!$B$29&amp;": "&amp;Anmeldung!$D$29&amp;", "&amp;Anmeldung!$E$29&amp;" / "&amp;Anmeldung!$G$29&amp;" / "&amp;Anmeldung!$J$29)&lt;&gt;Anmeldung!$R$41),Anmeldung!$B$29&amp;": "&amp;Anmeldung!$D$29&amp;", "&amp;Anmeldung!$E$29&amp;" / "&amp;Anmeldung!$G$29&amp;" / "&amp;Anmeldung!$J$29,"")</f>
        <v/>
      </c>
      <c r="GH16" t="str">
        <f>IF(AND(21&lt;&gt;33,Anmeldung!$D$29&lt;&gt;"",Anmeldung!$U$29="Ja",Anmeldung!$G$29=Anmeldung!$G$41,Anmeldung!$J$29=Anmeldung!$J$41),Anmeldung!$B$29&amp;": "&amp;Anmeldung!$D$29&amp;", "&amp;Anmeldung!$E$29&amp;" / "&amp;Anmeldung!$G$29&amp;" / "&amp;Anmeldung!$J$29,"")</f>
        <v/>
      </c>
      <c r="GK16" t="str">
        <f>IF(AND(22&lt;&gt;35,Anmeldung!$D$29&lt;&gt;"",Anmeldung!$G$29=Anmeldung!$G$42,Anmeldung!$J$29=Anmeldung!$J$42),Anmeldung!$B$29&amp;": "&amp;Anmeldung!$D$29&amp;", "&amp;Anmeldung!$E$29&amp;" / "&amp;Anmeldung!$G$29&amp;" / "&amp;Anmeldung!$J$29,"")</f>
        <v/>
      </c>
      <c r="GL16" t="str">
        <f>IF(AND(22&lt;&gt;35,Anmeldung!$D$29&lt;&gt;"",Anmeldung!$G$29=Anmeldung!$G$42,Anmeldung!$J$29=Anmeldung!$J$42,(Anmeldung!$B$29&amp;": "&amp;Anmeldung!$D$29&amp;", "&amp;Anmeldung!$E$29&amp;" / "&amp;Anmeldung!$G$29&amp;" / "&amp;Anmeldung!$J$29)&lt;&gt;Anmeldung!$P$42),Anmeldung!$B$29&amp;": "&amp;Anmeldung!$D$29&amp;", "&amp;Anmeldung!$E$29&amp;" / "&amp;Anmeldung!$G$29&amp;" / "&amp;Anmeldung!$J$29,"")</f>
        <v/>
      </c>
      <c r="GM16" t="str">
        <f>IF(AND(22&lt;&gt;35,Anmeldung!$D$29&lt;&gt;"",Anmeldung!$G$29=Anmeldung!$G$42,Anmeldung!$J$29=Anmeldung!$J$42,(Anmeldung!$B$29&amp;": "&amp;Anmeldung!$D$29&amp;", "&amp;Anmeldung!$E$29&amp;" / "&amp;Anmeldung!$G$29&amp;" / "&amp;Anmeldung!$J$29)&lt;&gt;Anmeldung!$O$42),Anmeldung!$B$29&amp;": "&amp;Anmeldung!$D$29&amp;", "&amp;Anmeldung!$E$29&amp;" / "&amp;Anmeldung!$G$29&amp;" / "&amp;Anmeldung!$J$29,"")</f>
        <v/>
      </c>
      <c r="GN16" t="str">
        <f>IF(AND(22&lt;&gt;35,Anmeldung!$D$29&lt;&gt;"",Anmeldung!$G$29&lt;&gt;Anmeldung!$G$42,(Anmeldung!$B$29&amp;": "&amp;Anmeldung!$D$29&amp;", "&amp;Anmeldung!$E$29&amp;" / "&amp;Anmeldung!$G$29&amp;" / "&amp;Anmeldung!$J$29)&lt;&gt;Anmeldung!$S$42),Anmeldung!$B$29&amp;": "&amp;Anmeldung!$D$29&amp;", "&amp;Anmeldung!$E$29&amp;" / "&amp;Anmeldung!$G$29&amp;" / "&amp;Anmeldung!$J$29,"")</f>
        <v/>
      </c>
      <c r="GO16" t="str">
        <f>IF(AND(22&lt;&gt;35,Anmeldung!$D$29&lt;&gt;"",(Anmeldung!$B$29&amp;": "&amp;Anmeldung!$D$29&amp;", "&amp;Anmeldung!$E$29&amp;" / "&amp;Anmeldung!$G$29&amp;" / "&amp;Anmeldung!$J$29)&lt;&gt;Anmeldung!$R$42),Anmeldung!$B$29&amp;": "&amp;Anmeldung!$D$29&amp;", "&amp;Anmeldung!$E$29&amp;" / "&amp;Anmeldung!$G$29&amp;" / "&amp;Anmeldung!$J$29,"")</f>
        <v/>
      </c>
      <c r="GP16" t="str">
        <f>IF(AND(21&lt;&gt;34,Anmeldung!$D$29&lt;&gt;"",Anmeldung!$U$29="Ja",Anmeldung!$G$29=Anmeldung!$G$42,Anmeldung!$J$29=Anmeldung!$J$42),Anmeldung!$B$29&amp;": "&amp;Anmeldung!$D$29&amp;", "&amp;Anmeldung!$E$29&amp;" / "&amp;Anmeldung!$G$29&amp;" / "&amp;Anmeldung!$J$29,"")</f>
        <v/>
      </c>
      <c r="GS16" t="str">
        <f>IF(AND(22&lt;&gt;36,Anmeldung!$D$29&lt;&gt;"",Anmeldung!$G$29=Anmeldung!$G$43,Anmeldung!$J$29=Anmeldung!$J$43),Anmeldung!$B$29&amp;": "&amp;Anmeldung!$D$29&amp;", "&amp;Anmeldung!$E$29&amp;" / "&amp;Anmeldung!$G$29&amp;" / "&amp;Anmeldung!$J$29,"")</f>
        <v/>
      </c>
      <c r="GT16" t="str">
        <f>IF(AND(22&lt;&gt;36,Anmeldung!$D$29&lt;&gt;"",Anmeldung!$G$29=Anmeldung!$G$43,Anmeldung!$J$29=Anmeldung!$J$43,(Anmeldung!$B$29&amp;": "&amp;Anmeldung!$D$29&amp;", "&amp;Anmeldung!$E$29&amp;" / "&amp;Anmeldung!$G$29&amp;" / "&amp;Anmeldung!$J$29)&lt;&gt;Anmeldung!$P$43),Anmeldung!$B$29&amp;": "&amp;Anmeldung!$D$29&amp;", "&amp;Anmeldung!$E$29&amp;" / "&amp;Anmeldung!$G$29&amp;" / "&amp;Anmeldung!$J$29,"")</f>
        <v/>
      </c>
      <c r="GU16" t="str">
        <f>IF(AND(22&lt;&gt;36,Anmeldung!$D$29&lt;&gt;"",Anmeldung!$G$29=Anmeldung!$G$43,Anmeldung!$J$29=Anmeldung!$J$43,(Anmeldung!$B$29&amp;": "&amp;Anmeldung!$D$29&amp;", "&amp;Anmeldung!$E$29&amp;" / "&amp;Anmeldung!$G$29&amp;" / "&amp;Anmeldung!$J$29)&lt;&gt;Anmeldung!$O$43),Anmeldung!$B$29&amp;": "&amp;Anmeldung!$D$29&amp;", "&amp;Anmeldung!$E$29&amp;" / "&amp;Anmeldung!$G$29&amp;" / "&amp;Anmeldung!$J$29,"")</f>
        <v/>
      </c>
      <c r="GV16" t="str">
        <f>IF(AND(22&lt;&gt;36,Anmeldung!$D$29&lt;&gt;"",Anmeldung!$G$29&lt;&gt;Anmeldung!$G$43,(Anmeldung!$B$29&amp;": "&amp;Anmeldung!$D$29&amp;", "&amp;Anmeldung!$E$29&amp;" / "&amp;Anmeldung!$G$29&amp;" / "&amp;Anmeldung!$J$29)&lt;&gt;Anmeldung!$S$43),Anmeldung!$B$29&amp;": "&amp;Anmeldung!$D$29&amp;", "&amp;Anmeldung!$E$29&amp;" / "&amp;Anmeldung!$G$29&amp;" / "&amp;Anmeldung!$J$29,"")</f>
        <v/>
      </c>
      <c r="GW16" t="str">
        <f>IF(AND(22&lt;&gt;36,Anmeldung!$D$29&lt;&gt;"",(Anmeldung!$B$29&amp;": "&amp;Anmeldung!$D$29&amp;", "&amp;Anmeldung!$E$29&amp;" / "&amp;Anmeldung!$G$29&amp;" / "&amp;Anmeldung!$J$29)&lt;&gt;Anmeldung!$R$43),Anmeldung!$B$29&amp;": "&amp;Anmeldung!$D$29&amp;", "&amp;Anmeldung!$E$29&amp;" / "&amp;Anmeldung!$G$29&amp;" / "&amp;Anmeldung!$J$29,"")</f>
        <v/>
      </c>
      <c r="GX16" t="str">
        <f>IF(AND(21&lt;&gt;35,Anmeldung!$D$29&lt;&gt;"",Anmeldung!$U$29="Ja",Anmeldung!$G$29=Anmeldung!$G$43,Anmeldung!$J$29=Anmeldung!$J$43),Anmeldung!$B$29&amp;": "&amp;Anmeldung!$D$29&amp;", "&amp;Anmeldung!$E$29&amp;" / "&amp;Anmeldung!$G$29&amp;" / "&amp;Anmeldung!$J$29,"")</f>
        <v/>
      </c>
      <c r="HA16" t="str">
        <f>IF(AND(22&lt;&gt;37,Anmeldung!$D$29&lt;&gt;"",Anmeldung!$G$29=Anmeldung!$G$44,Anmeldung!$J$29=Anmeldung!$J$44),Anmeldung!$B$29&amp;": "&amp;Anmeldung!$D$29&amp;", "&amp;Anmeldung!$E$29&amp;" / "&amp;Anmeldung!$G$29&amp;" / "&amp;Anmeldung!$J$29,"")</f>
        <v/>
      </c>
      <c r="HB16" t="str">
        <f>IF(AND(22&lt;&gt;37,Anmeldung!$D$29&lt;&gt;"",Anmeldung!$G$29=Anmeldung!$G$44,Anmeldung!$J$29=Anmeldung!$J$44,(Anmeldung!$B$29&amp;": "&amp;Anmeldung!$D$29&amp;", "&amp;Anmeldung!$E$29&amp;" / "&amp;Anmeldung!$G$29&amp;" / "&amp;Anmeldung!$J$29)&lt;&gt;Anmeldung!$P$44),Anmeldung!$B$29&amp;": "&amp;Anmeldung!$D$29&amp;", "&amp;Anmeldung!$E$29&amp;" / "&amp;Anmeldung!$G$29&amp;" / "&amp;Anmeldung!$J$29,"")</f>
        <v/>
      </c>
      <c r="HC16" t="str">
        <f>IF(AND(22&lt;&gt;37,Anmeldung!$D$29&lt;&gt;"",Anmeldung!$G$29=Anmeldung!$G$44,Anmeldung!$J$29=Anmeldung!$J$44,(Anmeldung!$B$29&amp;": "&amp;Anmeldung!$D$29&amp;", "&amp;Anmeldung!$E$29&amp;" / "&amp;Anmeldung!$G$29&amp;" / "&amp;Anmeldung!$J$29)&lt;&gt;Anmeldung!$O$44),Anmeldung!$B$29&amp;": "&amp;Anmeldung!$D$29&amp;", "&amp;Anmeldung!$E$29&amp;" / "&amp;Anmeldung!$G$29&amp;" / "&amp;Anmeldung!$J$29,"")</f>
        <v/>
      </c>
      <c r="HD16" t="str">
        <f>IF(AND(22&lt;&gt;37,Anmeldung!$D$29&lt;&gt;"",Anmeldung!$G$29&lt;&gt;Anmeldung!$G$44,(Anmeldung!$B$29&amp;": "&amp;Anmeldung!$D$29&amp;", "&amp;Anmeldung!$E$29&amp;" / "&amp;Anmeldung!$G$29&amp;" / "&amp;Anmeldung!$J$29)&lt;&gt;Anmeldung!$S$44),Anmeldung!$B$29&amp;": "&amp;Anmeldung!$D$29&amp;", "&amp;Anmeldung!$E$29&amp;" / "&amp;Anmeldung!$G$29&amp;" / "&amp;Anmeldung!$J$29,"")</f>
        <v/>
      </c>
      <c r="HE16" t="str">
        <f>IF(AND(22&lt;&gt;37,Anmeldung!$D$29&lt;&gt;"",(Anmeldung!$B$29&amp;": "&amp;Anmeldung!$D$29&amp;", "&amp;Anmeldung!$E$29&amp;" / "&amp;Anmeldung!$G$29&amp;" / "&amp;Anmeldung!$J$29)&lt;&gt;Anmeldung!$R$44),Anmeldung!$B$29&amp;": "&amp;Anmeldung!$D$29&amp;", "&amp;Anmeldung!$E$29&amp;" / "&amp;Anmeldung!$G$29&amp;" / "&amp;Anmeldung!$J$29,"")</f>
        <v/>
      </c>
      <c r="HF16" t="str">
        <f>IF(AND(21&lt;&gt;36,Anmeldung!$D$29&lt;&gt;"",Anmeldung!$U$29="Ja",Anmeldung!$G$29=Anmeldung!$G$44,Anmeldung!$J$29=Anmeldung!$J$44),Anmeldung!$B$29&amp;": "&amp;Anmeldung!$D$29&amp;", "&amp;Anmeldung!$E$29&amp;" / "&amp;Anmeldung!$G$29&amp;" / "&amp;Anmeldung!$J$29,"")</f>
        <v/>
      </c>
      <c r="HI16" t="str">
        <f>IF(AND(22&lt;&gt;38,Anmeldung!$D$29&lt;&gt;"",Anmeldung!$G$29=Anmeldung!$G$45,Anmeldung!$J$29=Anmeldung!$J$45),Anmeldung!$B$29&amp;": "&amp;Anmeldung!$D$29&amp;", "&amp;Anmeldung!$E$29&amp;" / "&amp;Anmeldung!$G$29&amp;" / "&amp;Anmeldung!$J$29,"")</f>
        <v/>
      </c>
      <c r="HJ16" t="str">
        <f>IF(AND(22&lt;&gt;38,Anmeldung!$D$29&lt;&gt;"",Anmeldung!$G$29=Anmeldung!$G$45,Anmeldung!$J$29=Anmeldung!$J$45,(Anmeldung!$B$29&amp;": "&amp;Anmeldung!$D$29&amp;", "&amp;Anmeldung!$E$29&amp;" / "&amp;Anmeldung!$G$29&amp;" / "&amp;Anmeldung!$J$29)&lt;&gt;Anmeldung!$P$45),Anmeldung!$B$29&amp;": "&amp;Anmeldung!$D$29&amp;", "&amp;Anmeldung!$E$29&amp;" / "&amp;Anmeldung!$G$29&amp;" / "&amp;Anmeldung!$J$29,"")</f>
        <v/>
      </c>
      <c r="HK16" t="str">
        <f>IF(AND(22&lt;&gt;38,Anmeldung!$D$29&lt;&gt;"",Anmeldung!$G$29=Anmeldung!$G$45,Anmeldung!$J$29=Anmeldung!$J$45,(Anmeldung!$B$29&amp;": "&amp;Anmeldung!$D$29&amp;", "&amp;Anmeldung!$E$29&amp;" / "&amp;Anmeldung!$G$29&amp;" / "&amp;Anmeldung!$J$29)&lt;&gt;Anmeldung!$O$45),Anmeldung!$B$29&amp;": "&amp;Anmeldung!$D$29&amp;", "&amp;Anmeldung!$E$29&amp;" / "&amp;Anmeldung!$G$29&amp;" / "&amp;Anmeldung!$J$29,"")</f>
        <v/>
      </c>
      <c r="HL16" t="str">
        <f>IF(AND(22&lt;&gt;38,Anmeldung!$D$29&lt;&gt;"",Anmeldung!$G$29&lt;&gt;Anmeldung!$G$45,(Anmeldung!$B$29&amp;": "&amp;Anmeldung!$D$29&amp;", "&amp;Anmeldung!$E$29&amp;" / "&amp;Anmeldung!$G$29&amp;" / "&amp;Anmeldung!$J$29)&lt;&gt;Anmeldung!$S$45),Anmeldung!$B$29&amp;": "&amp;Anmeldung!$D$29&amp;", "&amp;Anmeldung!$E$29&amp;" / "&amp;Anmeldung!$G$29&amp;" / "&amp;Anmeldung!$J$29,"")</f>
        <v/>
      </c>
      <c r="HM16" t="str">
        <f>IF(AND(22&lt;&gt;38,Anmeldung!$D$29&lt;&gt;"",(Anmeldung!$B$29&amp;": "&amp;Anmeldung!$D$29&amp;", "&amp;Anmeldung!$E$29&amp;" / "&amp;Anmeldung!$G$29&amp;" / "&amp;Anmeldung!$J$29)&lt;&gt;Anmeldung!$R$45),Anmeldung!$B$29&amp;": "&amp;Anmeldung!$D$29&amp;", "&amp;Anmeldung!$E$29&amp;" / "&amp;Anmeldung!$G$29&amp;" / "&amp;Anmeldung!$J$29,"")</f>
        <v/>
      </c>
      <c r="HN16" t="str">
        <f>IF(AND(21&lt;&gt;37,Anmeldung!$D$29&lt;&gt;"",Anmeldung!$U$29="Ja",Anmeldung!$G$29=Anmeldung!$G$45,Anmeldung!$J$29=Anmeldung!$J$45),Anmeldung!$B$29&amp;": "&amp;Anmeldung!$D$29&amp;", "&amp;Anmeldung!$E$29&amp;" / "&amp;Anmeldung!$G$29&amp;" / "&amp;Anmeldung!$J$29,"")</f>
        <v/>
      </c>
      <c r="HQ16" t="str">
        <f>IF(AND(22&lt;&gt;39,Anmeldung!$D$29&lt;&gt;"",Anmeldung!$G$29=Anmeldung!$G$46,Anmeldung!$J$29=Anmeldung!$J$46),Anmeldung!$B$29&amp;": "&amp;Anmeldung!$D$29&amp;", "&amp;Anmeldung!$E$29&amp;" / "&amp;Anmeldung!$G$29&amp;" / "&amp;Anmeldung!$J$29,"")</f>
        <v/>
      </c>
      <c r="HR16" t="str">
        <f>IF(AND(22&lt;&gt;39,Anmeldung!$D$29&lt;&gt;"",Anmeldung!$G$29=Anmeldung!$G$46,Anmeldung!$J$29=Anmeldung!$J$46,(Anmeldung!$B$29&amp;": "&amp;Anmeldung!$D$29&amp;", "&amp;Anmeldung!$E$29&amp;" / "&amp;Anmeldung!$G$29&amp;" / "&amp;Anmeldung!$J$29)&lt;&gt;Anmeldung!$P$46),Anmeldung!$B$29&amp;": "&amp;Anmeldung!$D$29&amp;", "&amp;Anmeldung!$E$29&amp;" / "&amp;Anmeldung!$G$29&amp;" / "&amp;Anmeldung!$J$29,"")</f>
        <v/>
      </c>
      <c r="HS16" t="str">
        <f>IF(AND(22&lt;&gt;39,Anmeldung!$D$29&lt;&gt;"",Anmeldung!$G$29=Anmeldung!$G$46,Anmeldung!$J$29=Anmeldung!$J$46,(Anmeldung!$B$29&amp;": "&amp;Anmeldung!$D$29&amp;", "&amp;Anmeldung!$E$29&amp;" / "&amp;Anmeldung!$G$29&amp;" / "&amp;Anmeldung!$J$29)&lt;&gt;Anmeldung!$O$46),Anmeldung!$B$29&amp;": "&amp;Anmeldung!$D$29&amp;", "&amp;Anmeldung!$E$29&amp;" / "&amp;Anmeldung!$G$29&amp;" / "&amp;Anmeldung!$J$29,"")</f>
        <v/>
      </c>
      <c r="HT16" t="str">
        <f>IF(AND(22&lt;&gt;39,Anmeldung!$D$29&lt;&gt;"",Anmeldung!$G$29&lt;&gt;Anmeldung!$G$46,(Anmeldung!$B$29&amp;": "&amp;Anmeldung!$D$29&amp;", "&amp;Anmeldung!$E$29&amp;" / "&amp;Anmeldung!$G$29&amp;" / "&amp;Anmeldung!$J$29)&lt;&gt;Anmeldung!$S$46),Anmeldung!$B$29&amp;": "&amp;Anmeldung!$D$29&amp;", "&amp;Anmeldung!$E$29&amp;" / "&amp;Anmeldung!$G$29&amp;" / "&amp;Anmeldung!$J$29,"")</f>
        <v/>
      </c>
      <c r="HU16" t="str">
        <f>IF(AND(22&lt;&gt;39,Anmeldung!$D$29&lt;&gt;"",(Anmeldung!$B$29&amp;": "&amp;Anmeldung!$D$29&amp;", "&amp;Anmeldung!$E$29&amp;" / "&amp;Anmeldung!$G$29&amp;" / "&amp;Anmeldung!$J$29)&lt;&gt;Anmeldung!$R$46),Anmeldung!$B$29&amp;": "&amp;Anmeldung!$D$29&amp;", "&amp;Anmeldung!$E$29&amp;" / "&amp;Anmeldung!$G$29&amp;" / "&amp;Anmeldung!$J$29,"")</f>
        <v/>
      </c>
      <c r="HV16" t="str">
        <f>IF(AND(21&lt;&gt;38,Anmeldung!$D$29&lt;&gt;"",Anmeldung!$U$29="Ja",Anmeldung!$G$29=Anmeldung!$G$46,Anmeldung!$J$29=Anmeldung!$J$46),Anmeldung!$B$29&amp;": "&amp;Anmeldung!$D$29&amp;", "&amp;Anmeldung!$E$29&amp;" / "&amp;Anmeldung!$G$29&amp;" / "&amp;Anmeldung!$J$29,"")</f>
        <v/>
      </c>
      <c r="HY16" t="str">
        <f>IF(AND(22&lt;&gt;40,Anmeldung!$D$29&lt;&gt;"",Anmeldung!$G$29=Anmeldung!$G$47,Anmeldung!$J$29=Anmeldung!$J$47),Anmeldung!$B$29&amp;": "&amp;Anmeldung!$D$29&amp;", "&amp;Anmeldung!$E$29&amp;" / "&amp;Anmeldung!$G$29&amp;" / "&amp;Anmeldung!$J$29,"")</f>
        <v/>
      </c>
      <c r="HZ16" t="str">
        <f>IF(AND(22&lt;&gt;40,Anmeldung!$D$29&lt;&gt;"",Anmeldung!$G$29=Anmeldung!$G$47,Anmeldung!$J$29=Anmeldung!$J$47,(Anmeldung!$B$29&amp;": "&amp;Anmeldung!$D$29&amp;", "&amp;Anmeldung!$E$29&amp;" / "&amp;Anmeldung!$G$29&amp;" / "&amp;Anmeldung!$J$29)&lt;&gt;Anmeldung!$P$47),Anmeldung!$B$29&amp;": "&amp;Anmeldung!$D$29&amp;", "&amp;Anmeldung!$E$29&amp;" / "&amp;Anmeldung!$G$29&amp;" / "&amp;Anmeldung!$J$29,"")</f>
        <v/>
      </c>
      <c r="IA16" t="str">
        <f>IF(AND(22&lt;&gt;40,Anmeldung!$D$29&lt;&gt;"",Anmeldung!$G$29=Anmeldung!$G$47,Anmeldung!$J$29=Anmeldung!$J$47,(Anmeldung!$B$29&amp;": "&amp;Anmeldung!$D$29&amp;", "&amp;Anmeldung!$E$29&amp;" / "&amp;Anmeldung!$G$29&amp;" / "&amp;Anmeldung!$J$29)&lt;&gt;Anmeldung!$O$47),Anmeldung!$B$29&amp;": "&amp;Anmeldung!$D$29&amp;", "&amp;Anmeldung!$E$29&amp;" / "&amp;Anmeldung!$G$29&amp;" / "&amp;Anmeldung!$J$29,"")</f>
        <v/>
      </c>
      <c r="IB16" t="str">
        <f>IF(AND(22&lt;&gt;40,Anmeldung!$D$29&lt;&gt;"",Anmeldung!$G$29&lt;&gt;Anmeldung!$G$47,(Anmeldung!$B$29&amp;": "&amp;Anmeldung!$D$29&amp;", "&amp;Anmeldung!$E$29&amp;" / "&amp;Anmeldung!$G$29&amp;" / "&amp;Anmeldung!$J$29)&lt;&gt;Anmeldung!$S$47),Anmeldung!$B$29&amp;": "&amp;Anmeldung!$D$29&amp;", "&amp;Anmeldung!$E$29&amp;" / "&amp;Anmeldung!$G$29&amp;" / "&amp;Anmeldung!$J$29,"")</f>
        <v/>
      </c>
      <c r="IC16" t="str">
        <f>IF(AND(22&lt;&gt;40,Anmeldung!$D$29&lt;&gt;"",(Anmeldung!$B$29&amp;": "&amp;Anmeldung!$D$29&amp;", "&amp;Anmeldung!$E$29&amp;" / "&amp;Anmeldung!$G$29&amp;" / "&amp;Anmeldung!$J$29)&lt;&gt;Anmeldung!$R$47),Anmeldung!$B$29&amp;": "&amp;Anmeldung!$D$29&amp;", "&amp;Anmeldung!$E$29&amp;" / "&amp;Anmeldung!$G$29&amp;" / "&amp;Anmeldung!$J$29,"")</f>
        <v/>
      </c>
      <c r="ID16" t="str">
        <f>IF(AND(21&lt;&gt;39,Anmeldung!$D$29&lt;&gt;"",Anmeldung!$U$29="Ja",Anmeldung!$G$29=Anmeldung!$G$47,Anmeldung!$J$29=Anmeldung!$J$47),Anmeldung!$B$29&amp;": "&amp;Anmeldung!$D$29&amp;", "&amp;Anmeldung!$E$29&amp;" / "&amp;Anmeldung!$G$29&amp;" / "&amp;Anmeldung!$J$29,"")</f>
        <v/>
      </c>
    </row>
    <row r="17" spans="1:238" ht="14.25" customHeight="1" x14ac:dyDescent="0.3">
      <c r="A17" t="str">
        <f>IF(AND(23&lt;&gt;11,Anmeldung!$D$30&lt;&gt;"",Anmeldung!$G$30=Anmeldung!$G$18,Anmeldung!$J$30=Anmeldung!$J$18),Anmeldung!$B$30&amp;": "&amp;Anmeldung!$D$30&amp;", "&amp;Anmeldung!$E$30&amp;" / "&amp;Anmeldung!$G$30&amp;" / "&amp;Anmeldung!$J$30,"")</f>
        <v/>
      </c>
      <c r="B17" t="str">
        <f>IF(AND(23&lt;&gt;11,Anmeldung!$D$30&lt;&gt;"",Anmeldung!$G$30=Anmeldung!$G$18,Anmeldung!$J$30=Anmeldung!$J$18,(Anmeldung!$B$30&amp;": "&amp;Anmeldung!$D$30&amp;", "&amp;Anmeldung!$E$30&amp;" / "&amp;Anmeldung!$G$30&amp;" / "&amp;Anmeldung!$J$30)&lt;&gt;Anmeldung!$P$18),Anmeldung!$B$30&amp;": "&amp;Anmeldung!$D$30&amp;", "&amp;Anmeldung!$E$30&amp;" / "&amp;Anmeldung!$G$30&amp;" / "&amp;Anmeldung!$J$30,"")</f>
        <v/>
      </c>
      <c r="C17" t="str">
        <f>IF(AND(23&lt;&gt;11,Anmeldung!$D$30&lt;&gt;"",Anmeldung!$G$30=Anmeldung!$G$18,Anmeldung!$J$30=Anmeldung!$J$18,(Anmeldung!$B$30&amp;": "&amp;Anmeldung!$D$30&amp;", "&amp;Anmeldung!$E$30&amp;" / "&amp;Anmeldung!$G$30&amp;" / "&amp;Anmeldung!$J$30)&lt;&gt;Anmeldung!$O$18),Anmeldung!$B$30&amp;": "&amp;Anmeldung!$D$30&amp;", "&amp;Anmeldung!$E$30&amp;" / "&amp;Anmeldung!$G$30&amp;" / "&amp;Anmeldung!$J$30,"")</f>
        <v/>
      </c>
      <c r="D17" t="str">
        <f>IF(AND(23&lt;&gt;11,Anmeldung!$D$30&lt;&gt;"",Anmeldung!$G$30&lt;&gt;Anmeldung!$G$18,(Anmeldung!$B$30&amp;": "&amp;Anmeldung!$D$30&amp;", "&amp;Anmeldung!$E$30&amp;" / "&amp;Anmeldung!$G$30&amp;" / "&amp;Anmeldung!$J$30)&lt;&gt;Anmeldung!$S$18),Anmeldung!$B$30&amp;": "&amp;Anmeldung!$D$30&amp;", "&amp;Anmeldung!$E$30&amp;" / "&amp;Anmeldung!$G$30&amp;" / "&amp;Anmeldung!$J$30,"")</f>
        <v/>
      </c>
      <c r="E17" t="str">
        <f>IF(AND(23&lt;&gt;11,Anmeldung!$D$30&lt;&gt;"",(Anmeldung!$B$30&amp;": "&amp;Anmeldung!$D$30&amp;", "&amp;Anmeldung!$E$30&amp;" / "&amp;Anmeldung!$G$30&amp;" / "&amp;Anmeldung!$J$30)&lt;&gt;Anmeldung!$R$18),Anmeldung!$B$30&amp;": "&amp;Anmeldung!$D$30&amp;", "&amp;Anmeldung!$E$30&amp;" / "&amp;Anmeldung!$G$30&amp;" / "&amp;Anmeldung!$J$30,"")</f>
        <v/>
      </c>
      <c r="F17" t="str">
        <f>IF(AND(22&lt;&gt;10,Anmeldung!$D$30&lt;&gt;"",Anmeldung!$U$30="Ja",Anmeldung!$G$30=Anmeldung!$G$18,Anmeldung!$J$30=Anmeldung!$J$18),Anmeldung!$B$30&amp;": "&amp;Anmeldung!$D$30&amp;", "&amp;Anmeldung!$E$30&amp;" / "&amp;Anmeldung!$G$30&amp;" / "&amp;Anmeldung!$J$30,"")</f>
        <v/>
      </c>
      <c r="I17" t="str">
        <f>IF(AND(23&lt;&gt;12,Anmeldung!$D$30&lt;&gt;"",Anmeldung!$G$30=Anmeldung!$G$19,Anmeldung!$J$30=Anmeldung!$J$19),Anmeldung!$B$30&amp;": "&amp;Anmeldung!$D$30&amp;", "&amp;Anmeldung!$E$30&amp;" / "&amp;Anmeldung!$G$30&amp;" / "&amp;Anmeldung!$J$30,"")</f>
        <v/>
      </c>
      <c r="J17" t="str">
        <f>IF(AND(23&lt;&gt;12,Anmeldung!$D$30&lt;&gt;"",Anmeldung!$G$30=Anmeldung!$G$19,Anmeldung!$J$30=Anmeldung!$J$19,(Anmeldung!$B$30&amp;": "&amp;Anmeldung!$D$30&amp;", "&amp;Anmeldung!$E$30&amp;" / "&amp;Anmeldung!$G$30&amp;" / "&amp;Anmeldung!$J$30)&lt;&gt;Anmeldung!$P$19),Anmeldung!$B$30&amp;": "&amp;Anmeldung!$D$30&amp;", "&amp;Anmeldung!$E$30&amp;" / "&amp;Anmeldung!$G$30&amp;" / "&amp;Anmeldung!$J$30,"")</f>
        <v/>
      </c>
      <c r="K17" t="str">
        <f>IF(AND(23&lt;&gt;12,Anmeldung!$D$30&lt;&gt;"",Anmeldung!$G$30=Anmeldung!$G$19,Anmeldung!$J$30=Anmeldung!$J$19,(Anmeldung!$B$30&amp;": "&amp;Anmeldung!$D$30&amp;", "&amp;Anmeldung!$E$30&amp;" / "&amp;Anmeldung!$G$30&amp;" / "&amp;Anmeldung!$J$30)&lt;&gt;Anmeldung!$O$19),Anmeldung!$B$30&amp;": "&amp;Anmeldung!$D$30&amp;", "&amp;Anmeldung!$E$30&amp;" / "&amp;Anmeldung!$G$30&amp;" / "&amp;Anmeldung!$J$30,"")</f>
        <v/>
      </c>
      <c r="L17" t="str">
        <f>IF(AND(23&lt;&gt;12,Anmeldung!$D$30&lt;&gt;"",Anmeldung!$G$30&lt;&gt;Anmeldung!$G$19,(Anmeldung!$B$30&amp;": "&amp;Anmeldung!$D$30&amp;", "&amp;Anmeldung!$E$30&amp;" / "&amp;Anmeldung!$G$30&amp;" / "&amp;Anmeldung!$J$30)&lt;&gt;Anmeldung!$S$19),Anmeldung!$B$30&amp;": "&amp;Anmeldung!$D$30&amp;", "&amp;Anmeldung!$E$30&amp;" / "&amp;Anmeldung!$G$30&amp;" / "&amp;Anmeldung!$J$30,"")</f>
        <v/>
      </c>
      <c r="M17" t="str">
        <f>IF(AND(23&lt;&gt;12,Anmeldung!$D$30&lt;&gt;"",(Anmeldung!$B$30&amp;": "&amp;Anmeldung!$D$30&amp;", "&amp;Anmeldung!$E$30&amp;" / "&amp;Anmeldung!$G$30&amp;" / "&amp;Anmeldung!$J$30)&lt;&gt;Anmeldung!$R$19),Anmeldung!$B$30&amp;": "&amp;Anmeldung!$D$30&amp;", "&amp;Anmeldung!$E$30&amp;" / "&amp;Anmeldung!$G$30&amp;" / "&amp;Anmeldung!$J$30,"")</f>
        <v/>
      </c>
      <c r="N17" t="str">
        <f>IF(AND(22&lt;&gt;11,Anmeldung!$D$30&lt;&gt;"",Anmeldung!$U$30="Ja",Anmeldung!$G$30=Anmeldung!$G$19,Anmeldung!$J$30=Anmeldung!$J$19),Anmeldung!$B$30&amp;": "&amp;Anmeldung!$D$30&amp;", "&amp;Anmeldung!$E$30&amp;" / "&amp;Anmeldung!$G$30&amp;" / "&amp;Anmeldung!$J$30,"")</f>
        <v/>
      </c>
      <c r="Q17" t="str">
        <f>IF(AND(23&lt;&gt;13,Anmeldung!$D$30&lt;&gt;"",Anmeldung!$G$30=Anmeldung!$G$20,Anmeldung!$J$30=Anmeldung!$J$20),Anmeldung!$B$30&amp;": "&amp;Anmeldung!$D$30&amp;", "&amp;Anmeldung!$E$30&amp;" / "&amp;Anmeldung!$G$30&amp;" / "&amp;Anmeldung!$J$30,"")</f>
        <v/>
      </c>
      <c r="R17" t="str">
        <f>IF(AND(23&lt;&gt;13,Anmeldung!$D$30&lt;&gt;"",Anmeldung!$G$30=Anmeldung!$G$20,Anmeldung!$J$30=Anmeldung!$J$20,(Anmeldung!$B$30&amp;": "&amp;Anmeldung!$D$30&amp;", "&amp;Anmeldung!$E$30&amp;" / "&amp;Anmeldung!$G$30&amp;" / "&amp;Anmeldung!$J$30)&lt;&gt;Anmeldung!$P$20),Anmeldung!$B$30&amp;": "&amp;Anmeldung!$D$30&amp;", "&amp;Anmeldung!$E$30&amp;" / "&amp;Anmeldung!$G$30&amp;" / "&amp;Anmeldung!$J$30,"")</f>
        <v/>
      </c>
      <c r="S17" t="str">
        <f>IF(AND(23&lt;&gt;13,Anmeldung!$D$30&lt;&gt;"",Anmeldung!$G$30=Anmeldung!$G$20,Anmeldung!$J$30=Anmeldung!$J$20,(Anmeldung!$B$30&amp;": "&amp;Anmeldung!$D$30&amp;", "&amp;Anmeldung!$E$30&amp;" / "&amp;Anmeldung!$G$30&amp;" / "&amp;Anmeldung!$J$30)&lt;&gt;Anmeldung!$O$20),Anmeldung!$B$30&amp;": "&amp;Anmeldung!$D$30&amp;", "&amp;Anmeldung!$E$30&amp;" / "&amp;Anmeldung!$G$30&amp;" / "&amp;Anmeldung!$J$30,"")</f>
        <v/>
      </c>
      <c r="T17" t="str">
        <f>IF(AND(23&lt;&gt;13,Anmeldung!$D$30&lt;&gt;"",Anmeldung!$G$30&lt;&gt;Anmeldung!$G$20,(Anmeldung!$B$30&amp;": "&amp;Anmeldung!$D$30&amp;", "&amp;Anmeldung!$E$30&amp;" / "&amp;Anmeldung!$G$30&amp;" / "&amp;Anmeldung!$J$30)&lt;&gt;Anmeldung!$S$20),Anmeldung!$B$30&amp;": "&amp;Anmeldung!$D$30&amp;", "&amp;Anmeldung!$E$30&amp;" / "&amp;Anmeldung!$G$30&amp;" / "&amp;Anmeldung!$J$30,"")</f>
        <v/>
      </c>
      <c r="U17" t="str">
        <f>IF(AND(23&lt;&gt;13,Anmeldung!$D$30&lt;&gt;"",(Anmeldung!$B$30&amp;": "&amp;Anmeldung!$D$30&amp;", "&amp;Anmeldung!$E$30&amp;" / "&amp;Anmeldung!$G$30&amp;" / "&amp;Anmeldung!$J$30)&lt;&gt;Anmeldung!$R$20),Anmeldung!$B$30&amp;": "&amp;Anmeldung!$D$30&amp;", "&amp;Anmeldung!$E$30&amp;" / "&amp;Anmeldung!$G$30&amp;" / "&amp;Anmeldung!$J$30,"")</f>
        <v/>
      </c>
      <c r="V17" t="str">
        <f>IF(AND(22&lt;&gt;12,Anmeldung!$D$30&lt;&gt;"",Anmeldung!$U$30="Ja",Anmeldung!$G$30=Anmeldung!$G$20,Anmeldung!$J$30=Anmeldung!$J$20),Anmeldung!$B$30&amp;": "&amp;Anmeldung!$D$30&amp;", "&amp;Anmeldung!$E$30&amp;" / "&amp;Anmeldung!$G$30&amp;" / "&amp;Anmeldung!$J$30,"")</f>
        <v/>
      </c>
      <c r="Y17" t="str">
        <f>IF(AND(23&lt;&gt;14,Anmeldung!$D$30&lt;&gt;"",Anmeldung!$G$30=Anmeldung!$G$21,Anmeldung!$J$30=Anmeldung!$J$21),Anmeldung!$B$30&amp;": "&amp;Anmeldung!$D$30&amp;", "&amp;Anmeldung!$E$30&amp;" / "&amp;Anmeldung!$G$30&amp;" / "&amp;Anmeldung!$J$30,"")</f>
        <v/>
      </c>
      <c r="Z17" t="str">
        <f>IF(AND(23&lt;&gt;14,Anmeldung!$D$30&lt;&gt;"",Anmeldung!$G$30=Anmeldung!$G$21,Anmeldung!$J$30=Anmeldung!$J$21,(Anmeldung!$B$30&amp;": "&amp;Anmeldung!$D$30&amp;", "&amp;Anmeldung!$E$30&amp;" / "&amp;Anmeldung!$G$30&amp;" / "&amp;Anmeldung!$J$30)&lt;&gt;Anmeldung!$P$21),Anmeldung!$B$30&amp;": "&amp;Anmeldung!$D$30&amp;", "&amp;Anmeldung!$E$30&amp;" / "&amp;Anmeldung!$G$30&amp;" / "&amp;Anmeldung!$J$30,"")</f>
        <v/>
      </c>
      <c r="AA17" t="str">
        <f>IF(AND(23&lt;&gt;14,Anmeldung!$D$30&lt;&gt;"",Anmeldung!$G$30=Anmeldung!$G$21,Anmeldung!$J$30=Anmeldung!$J$21,(Anmeldung!$B$30&amp;": "&amp;Anmeldung!$D$30&amp;", "&amp;Anmeldung!$E$30&amp;" / "&amp;Anmeldung!$G$30&amp;" / "&amp;Anmeldung!$J$30)&lt;&gt;Anmeldung!$O$21),Anmeldung!$B$30&amp;": "&amp;Anmeldung!$D$30&amp;", "&amp;Anmeldung!$E$30&amp;" / "&amp;Anmeldung!$G$30&amp;" / "&amp;Anmeldung!$J$30,"")</f>
        <v/>
      </c>
      <c r="AB17" t="str">
        <f>IF(AND(23&lt;&gt;14,Anmeldung!$D$30&lt;&gt;"",Anmeldung!$G$30&lt;&gt;Anmeldung!$G$21,(Anmeldung!$B$30&amp;": "&amp;Anmeldung!$D$30&amp;", "&amp;Anmeldung!$E$30&amp;" / "&amp;Anmeldung!$G$30&amp;" / "&amp;Anmeldung!$J$30)&lt;&gt;Anmeldung!$S$21),Anmeldung!$B$30&amp;": "&amp;Anmeldung!$D$30&amp;", "&amp;Anmeldung!$E$30&amp;" / "&amp;Anmeldung!$G$30&amp;" / "&amp;Anmeldung!$J$30,"")</f>
        <v/>
      </c>
      <c r="AC17" t="str">
        <f>IF(AND(23&lt;&gt;14,Anmeldung!$D$30&lt;&gt;"",(Anmeldung!$B$30&amp;": "&amp;Anmeldung!$D$30&amp;", "&amp;Anmeldung!$E$30&amp;" / "&amp;Anmeldung!$G$30&amp;" / "&amp;Anmeldung!$J$30)&lt;&gt;Anmeldung!$R$21),Anmeldung!$B$30&amp;": "&amp;Anmeldung!$D$30&amp;", "&amp;Anmeldung!$E$30&amp;" / "&amp;Anmeldung!$G$30&amp;" / "&amp;Anmeldung!$J$30,"")</f>
        <v/>
      </c>
      <c r="AD17" t="str">
        <f>IF(AND(22&lt;&gt;13,Anmeldung!$D$30&lt;&gt;"",Anmeldung!$U$30="Ja",Anmeldung!$G$30=Anmeldung!$G$21,Anmeldung!$J$30=Anmeldung!$J$21),Anmeldung!$B$30&amp;": "&amp;Anmeldung!$D$30&amp;", "&amp;Anmeldung!$E$30&amp;" / "&amp;Anmeldung!$G$30&amp;" / "&amp;Anmeldung!$J$30,"")</f>
        <v/>
      </c>
      <c r="AG17" t="str">
        <f>IF(AND(23&lt;&gt;15,Anmeldung!$D$30&lt;&gt;"",Anmeldung!$G$30=Anmeldung!$G$22,Anmeldung!$J$30=Anmeldung!$J$22),Anmeldung!$B$30&amp;": "&amp;Anmeldung!$D$30&amp;", "&amp;Anmeldung!$E$30&amp;" / "&amp;Anmeldung!$G$30&amp;" / "&amp;Anmeldung!$J$30,"")</f>
        <v/>
      </c>
      <c r="AH17" t="str">
        <f>IF(AND(23&lt;&gt;15,Anmeldung!$D$30&lt;&gt;"",Anmeldung!$G$30=Anmeldung!$G$22,Anmeldung!$J$30=Anmeldung!$J$22,(Anmeldung!$B$30&amp;": "&amp;Anmeldung!$D$30&amp;", "&amp;Anmeldung!$E$30&amp;" / "&amp;Anmeldung!$G$30&amp;" / "&amp;Anmeldung!$J$30)&lt;&gt;Anmeldung!$P$22),Anmeldung!$B$30&amp;": "&amp;Anmeldung!$D$30&amp;", "&amp;Anmeldung!$E$30&amp;" / "&amp;Anmeldung!$G$30&amp;" / "&amp;Anmeldung!$J$30,"")</f>
        <v/>
      </c>
      <c r="AI17" t="str">
        <f>IF(AND(23&lt;&gt;15,Anmeldung!$D$30&lt;&gt;"",Anmeldung!$G$30=Anmeldung!$G$22,Anmeldung!$J$30=Anmeldung!$J$22,(Anmeldung!$B$30&amp;": "&amp;Anmeldung!$D$30&amp;", "&amp;Anmeldung!$E$30&amp;" / "&amp;Anmeldung!$G$30&amp;" / "&amp;Anmeldung!$J$30)&lt;&gt;Anmeldung!$O$22),Anmeldung!$B$30&amp;": "&amp;Anmeldung!$D$30&amp;", "&amp;Anmeldung!$E$30&amp;" / "&amp;Anmeldung!$G$30&amp;" / "&amp;Anmeldung!$J$30,"")</f>
        <v/>
      </c>
      <c r="AJ17" t="str">
        <f>IF(AND(23&lt;&gt;15,Anmeldung!$D$30&lt;&gt;"",Anmeldung!$G$30&lt;&gt;Anmeldung!$G$22,(Anmeldung!$B$30&amp;": "&amp;Anmeldung!$D$30&amp;", "&amp;Anmeldung!$E$30&amp;" / "&amp;Anmeldung!$G$30&amp;" / "&amp;Anmeldung!$J$30)&lt;&gt;Anmeldung!$S$22),Anmeldung!$B$30&amp;": "&amp;Anmeldung!$D$30&amp;", "&amp;Anmeldung!$E$30&amp;" / "&amp;Anmeldung!$G$30&amp;" / "&amp;Anmeldung!$J$30,"")</f>
        <v/>
      </c>
      <c r="AK17" t="str">
        <f>IF(AND(23&lt;&gt;15,Anmeldung!$D$30&lt;&gt;"",(Anmeldung!$B$30&amp;": "&amp;Anmeldung!$D$30&amp;", "&amp;Anmeldung!$E$30&amp;" / "&amp;Anmeldung!$G$30&amp;" / "&amp;Anmeldung!$J$30)&lt;&gt;Anmeldung!$R$22),Anmeldung!$B$30&amp;": "&amp;Anmeldung!$D$30&amp;", "&amp;Anmeldung!$E$30&amp;" / "&amp;Anmeldung!$G$30&amp;" / "&amp;Anmeldung!$J$30,"")</f>
        <v/>
      </c>
      <c r="AL17" t="str">
        <f>IF(AND(22&lt;&gt;14,Anmeldung!$D$30&lt;&gt;"",Anmeldung!$U$30="Ja",Anmeldung!$G$30=Anmeldung!$G$22,Anmeldung!$J$30=Anmeldung!$J$22),Anmeldung!$B$30&amp;": "&amp;Anmeldung!$D$30&amp;", "&amp;Anmeldung!$E$30&amp;" / "&amp;Anmeldung!$G$30&amp;" / "&amp;Anmeldung!$J$30,"")</f>
        <v/>
      </c>
      <c r="AO17" t="str">
        <f>IF(AND(23&lt;&gt;16,Anmeldung!$D$30&lt;&gt;"",Anmeldung!$G$30=Anmeldung!$G$23,Anmeldung!$J$30=Anmeldung!$J$23),Anmeldung!$B$30&amp;": "&amp;Anmeldung!$D$30&amp;", "&amp;Anmeldung!$E$30&amp;" / "&amp;Anmeldung!$G$30&amp;" / "&amp;Anmeldung!$J$30,"")</f>
        <v/>
      </c>
      <c r="AP17" t="str">
        <f>IF(AND(23&lt;&gt;16,Anmeldung!$D$30&lt;&gt;"",Anmeldung!$G$30=Anmeldung!$G$23,Anmeldung!$J$30=Anmeldung!$J$23,(Anmeldung!$B$30&amp;": "&amp;Anmeldung!$D$30&amp;", "&amp;Anmeldung!$E$30&amp;" / "&amp;Anmeldung!$G$30&amp;" / "&amp;Anmeldung!$J$30)&lt;&gt;Anmeldung!$P$23),Anmeldung!$B$30&amp;": "&amp;Anmeldung!$D$30&amp;", "&amp;Anmeldung!$E$30&amp;" / "&amp;Anmeldung!$G$30&amp;" / "&amp;Anmeldung!$J$30,"")</f>
        <v/>
      </c>
      <c r="AQ17" t="str">
        <f>IF(AND(23&lt;&gt;16,Anmeldung!$D$30&lt;&gt;"",Anmeldung!$G$30=Anmeldung!$G$23,Anmeldung!$J$30=Anmeldung!$J$23,(Anmeldung!$B$30&amp;": "&amp;Anmeldung!$D$30&amp;", "&amp;Anmeldung!$E$30&amp;" / "&amp;Anmeldung!$G$30&amp;" / "&amp;Anmeldung!$J$30)&lt;&gt;Anmeldung!$O$23),Anmeldung!$B$30&amp;": "&amp;Anmeldung!$D$30&amp;", "&amp;Anmeldung!$E$30&amp;" / "&amp;Anmeldung!$G$30&amp;" / "&amp;Anmeldung!$J$30,"")</f>
        <v/>
      </c>
      <c r="AR17" t="str">
        <f>IF(AND(23&lt;&gt;16,Anmeldung!$D$30&lt;&gt;"",Anmeldung!$G$30&lt;&gt;Anmeldung!$G$23,(Anmeldung!$B$30&amp;": "&amp;Anmeldung!$D$30&amp;", "&amp;Anmeldung!$E$30&amp;" / "&amp;Anmeldung!$G$30&amp;" / "&amp;Anmeldung!$J$30)&lt;&gt;Anmeldung!$S$23),Anmeldung!$B$30&amp;": "&amp;Anmeldung!$D$30&amp;", "&amp;Anmeldung!$E$30&amp;" / "&amp;Anmeldung!$G$30&amp;" / "&amp;Anmeldung!$J$30,"")</f>
        <v/>
      </c>
      <c r="AS17" t="str">
        <f>IF(AND(23&lt;&gt;16,Anmeldung!$D$30&lt;&gt;"",(Anmeldung!$B$30&amp;": "&amp;Anmeldung!$D$30&amp;", "&amp;Anmeldung!$E$30&amp;" / "&amp;Anmeldung!$G$30&amp;" / "&amp;Anmeldung!$J$30)&lt;&gt;Anmeldung!$R$23),Anmeldung!$B$30&amp;": "&amp;Anmeldung!$D$30&amp;", "&amp;Anmeldung!$E$30&amp;" / "&amp;Anmeldung!$G$30&amp;" / "&amp;Anmeldung!$J$30,"")</f>
        <v/>
      </c>
      <c r="AT17" t="str">
        <f>IF(AND(22&lt;&gt;15,Anmeldung!$D$30&lt;&gt;"",Anmeldung!$U$30="Ja",Anmeldung!$G$30=Anmeldung!$G$23,Anmeldung!$J$30=Anmeldung!$J$23),Anmeldung!$B$30&amp;": "&amp;Anmeldung!$D$30&amp;", "&amp;Anmeldung!$E$30&amp;" / "&amp;Anmeldung!$G$30&amp;" / "&amp;Anmeldung!$J$30,"")</f>
        <v/>
      </c>
      <c r="AW17" t="str">
        <f>IF(AND(23&lt;&gt;17,Anmeldung!$D$30&lt;&gt;"",Anmeldung!$G$30=Anmeldung!$G$24,Anmeldung!$J$30=Anmeldung!$J$24),Anmeldung!$B$30&amp;": "&amp;Anmeldung!$D$30&amp;", "&amp;Anmeldung!$E$30&amp;" / "&amp;Anmeldung!$G$30&amp;" / "&amp;Anmeldung!$J$30,"")</f>
        <v/>
      </c>
      <c r="AX17" t="str">
        <f>IF(AND(23&lt;&gt;17,Anmeldung!$D$30&lt;&gt;"",Anmeldung!$G$30=Anmeldung!$G$24,Anmeldung!$J$30=Anmeldung!$J$24,(Anmeldung!$B$30&amp;": "&amp;Anmeldung!$D$30&amp;", "&amp;Anmeldung!$E$30&amp;" / "&amp;Anmeldung!$G$30&amp;" / "&amp;Anmeldung!$J$30)&lt;&gt;Anmeldung!$P$24),Anmeldung!$B$30&amp;": "&amp;Anmeldung!$D$30&amp;", "&amp;Anmeldung!$E$30&amp;" / "&amp;Anmeldung!$G$30&amp;" / "&amp;Anmeldung!$J$30,"")</f>
        <v/>
      </c>
      <c r="AY17" t="str">
        <f>IF(AND(23&lt;&gt;17,Anmeldung!$D$30&lt;&gt;"",Anmeldung!$G$30=Anmeldung!$G$24,Anmeldung!$J$30=Anmeldung!$J$24,(Anmeldung!$B$30&amp;": "&amp;Anmeldung!$D$30&amp;", "&amp;Anmeldung!$E$30&amp;" / "&amp;Anmeldung!$G$30&amp;" / "&amp;Anmeldung!$J$30)&lt;&gt;Anmeldung!$O$24),Anmeldung!$B$30&amp;": "&amp;Anmeldung!$D$30&amp;", "&amp;Anmeldung!$E$30&amp;" / "&amp;Anmeldung!$G$30&amp;" / "&amp;Anmeldung!$J$30,"")</f>
        <v/>
      </c>
      <c r="AZ17" t="str">
        <f>IF(AND(23&lt;&gt;17,Anmeldung!$D$30&lt;&gt;"",Anmeldung!$G$30&lt;&gt;Anmeldung!$G$24,(Anmeldung!$B$30&amp;": "&amp;Anmeldung!$D$30&amp;", "&amp;Anmeldung!$E$30&amp;" / "&amp;Anmeldung!$G$30&amp;" / "&amp;Anmeldung!$J$30)&lt;&gt;Anmeldung!$S$24),Anmeldung!$B$30&amp;": "&amp;Anmeldung!$D$30&amp;", "&amp;Anmeldung!$E$30&amp;" / "&amp;Anmeldung!$G$30&amp;" / "&amp;Anmeldung!$J$30,"")</f>
        <v/>
      </c>
      <c r="BA17" t="str">
        <f>IF(AND(23&lt;&gt;17,Anmeldung!$D$30&lt;&gt;"",(Anmeldung!$B$30&amp;": "&amp;Anmeldung!$D$30&amp;", "&amp;Anmeldung!$E$30&amp;" / "&amp;Anmeldung!$G$30&amp;" / "&amp;Anmeldung!$J$30)&lt;&gt;Anmeldung!$R$24),Anmeldung!$B$30&amp;": "&amp;Anmeldung!$D$30&amp;", "&amp;Anmeldung!$E$30&amp;" / "&amp;Anmeldung!$G$30&amp;" / "&amp;Anmeldung!$J$30,"")</f>
        <v/>
      </c>
      <c r="BB17" t="str">
        <f>IF(AND(22&lt;&gt;16,Anmeldung!$D$30&lt;&gt;"",Anmeldung!$U$30="Ja",Anmeldung!$G$30=Anmeldung!$G$24,Anmeldung!$J$30=Anmeldung!$J$24),Anmeldung!$B$30&amp;": "&amp;Anmeldung!$D$30&amp;", "&amp;Anmeldung!$E$30&amp;" / "&amp;Anmeldung!$G$30&amp;" / "&amp;Anmeldung!$J$30,"")</f>
        <v/>
      </c>
      <c r="BE17" t="str">
        <f>IF(AND(23&lt;&gt;18,Anmeldung!$D$30&lt;&gt;"",Anmeldung!$G$30=Anmeldung!$G$25,Anmeldung!$J$30=Anmeldung!$J$25),Anmeldung!$B$30&amp;": "&amp;Anmeldung!$D$30&amp;", "&amp;Anmeldung!$E$30&amp;" / "&amp;Anmeldung!$G$30&amp;" / "&amp;Anmeldung!$J$30,"")</f>
        <v/>
      </c>
      <c r="BF17" t="str">
        <f>IF(AND(23&lt;&gt;18,Anmeldung!$D$30&lt;&gt;"",Anmeldung!$G$30=Anmeldung!$G$25,Anmeldung!$J$30=Anmeldung!$J$25,(Anmeldung!$B$30&amp;": "&amp;Anmeldung!$D$30&amp;", "&amp;Anmeldung!$E$30&amp;" / "&amp;Anmeldung!$G$30&amp;" / "&amp;Anmeldung!$J$30)&lt;&gt;Anmeldung!$P$25),Anmeldung!$B$30&amp;": "&amp;Anmeldung!$D$30&amp;", "&amp;Anmeldung!$E$30&amp;" / "&amp;Anmeldung!$G$30&amp;" / "&amp;Anmeldung!$J$30,"")</f>
        <v/>
      </c>
      <c r="BG17" t="str">
        <f>IF(AND(23&lt;&gt;18,Anmeldung!$D$30&lt;&gt;"",Anmeldung!$G$30=Anmeldung!$G$25,Anmeldung!$J$30=Anmeldung!$J$25,(Anmeldung!$B$30&amp;": "&amp;Anmeldung!$D$30&amp;", "&amp;Anmeldung!$E$30&amp;" / "&amp;Anmeldung!$G$30&amp;" / "&amp;Anmeldung!$J$30)&lt;&gt;Anmeldung!$O$25),Anmeldung!$B$30&amp;": "&amp;Anmeldung!$D$30&amp;", "&amp;Anmeldung!$E$30&amp;" / "&amp;Anmeldung!$G$30&amp;" / "&amp;Anmeldung!$J$30,"")</f>
        <v/>
      </c>
      <c r="BH17" t="str">
        <f>IF(AND(23&lt;&gt;18,Anmeldung!$D$30&lt;&gt;"",Anmeldung!$G$30&lt;&gt;Anmeldung!$G$25,(Anmeldung!$B$30&amp;": "&amp;Anmeldung!$D$30&amp;", "&amp;Anmeldung!$E$30&amp;" / "&amp;Anmeldung!$G$30&amp;" / "&amp;Anmeldung!$J$30)&lt;&gt;Anmeldung!$S$25),Anmeldung!$B$30&amp;": "&amp;Anmeldung!$D$30&amp;", "&amp;Anmeldung!$E$30&amp;" / "&amp;Anmeldung!$G$30&amp;" / "&amp;Anmeldung!$J$30,"")</f>
        <v/>
      </c>
      <c r="BI17" t="str">
        <f>IF(AND(23&lt;&gt;18,Anmeldung!$D$30&lt;&gt;"",(Anmeldung!$B$30&amp;": "&amp;Anmeldung!$D$30&amp;", "&amp;Anmeldung!$E$30&amp;" / "&amp;Anmeldung!$G$30&amp;" / "&amp;Anmeldung!$J$30)&lt;&gt;Anmeldung!$R$25),Anmeldung!$B$30&amp;": "&amp;Anmeldung!$D$30&amp;", "&amp;Anmeldung!$E$30&amp;" / "&amp;Anmeldung!$G$30&amp;" / "&amp;Anmeldung!$J$30,"")</f>
        <v/>
      </c>
      <c r="BJ17" t="str">
        <f>IF(AND(22&lt;&gt;17,Anmeldung!$D$30&lt;&gt;"",Anmeldung!$U$30="Ja",Anmeldung!$G$30=Anmeldung!$G$25,Anmeldung!$J$30=Anmeldung!$J$25),Anmeldung!$B$30&amp;": "&amp;Anmeldung!$D$30&amp;", "&amp;Anmeldung!$E$30&amp;" / "&amp;Anmeldung!$G$30&amp;" / "&amp;Anmeldung!$J$30,"")</f>
        <v/>
      </c>
      <c r="BM17" t="str">
        <f>IF(AND(23&lt;&gt;19,Anmeldung!$D$30&lt;&gt;"",Anmeldung!$G$30=Anmeldung!$G$26,Anmeldung!$J$30=Anmeldung!$J$26),Anmeldung!$B$30&amp;": "&amp;Anmeldung!$D$30&amp;", "&amp;Anmeldung!$E$30&amp;" / "&amp;Anmeldung!$G$30&amp;" / "&amp;Anmeldung!$J$30,"")</f>
        <v/>
      </c>
      <c r="BN17" t="str">
        <f>IF(AND(23&lt;&gt;19,Anmeldung!$D$30&lt;&gt;"",Anmeldung!$G$30=Anmeldung!$G$26,Anmeldung!$J$30=Anmeldung!$J$26,(Anmeldung!$B$30&amp;": "&amp;Anmeldung!$D$30&amp;", "&amp;Anmeldung!$E$30&amp;" / "&amp;Anmeldung!$G$30&amp;" / "&amp;Anmeldung!$J$30)&lt;&gt;Anmeldung!$P$26),Anmeldung!$B$30&amp;": "&amp;Anmeldung!$D$30&amp;", "&amp;Anmeldung!$E$30&amp;" / "&amp;Anmeldung!$G$30&amp;" / "&amp;Anmeldung!$J$30,"")</f>
        <v/>
      </c>
      <c r="BO17" t="str">
        <f>IF(AND(23&lt;&gt;19,Anmeldung!$D$30&lt;&gt;"",Anmeldung!$G$30=Anmeldung!$G$26,Anmeldung!$J$30=Anmeldung!$J$26,(Anmeldung!$B$30&amp;": "&amp;Anmeldung!$D$30&amp;", "&amp;Anmeldung!$E$30&amp;" / "&amp;Anmeldung!$G$30&amp;" / "&amp;Anmeldung!$J$30)&lt;&gt;Anmeldung!$O$26),Anmeldung!$B$30&amp;": "&amp;Anmeldung!$D$30&amp;", "&amp;Anmeldung!$E$30&amp;" / "&amp;Anmeldung!$G$30&amp;" / "&amp;Anmeldung!$J$30,"")</f>
        <v/>
      </c>
      <c r="BP17" t="str">
        <f>IF(AND(23&lt;&gt;19,Anmeldung!$D$30&lt;&gt;"",Anmeldung!$G$30&lt;&gt;Anmeldung!$G$26,(Anmeldung!$B$30&amp;": "&amp;Anmeldung!$D$30&amp;", "&amp;Anmeldung!$E$30&amp;" / "&amp;Anmeldung!$G$30&amp;" / "&amp;Anmeldung!$J$30)&lt;&gt;Anmeldung!$S$26),Anmeldung!$B$30&amp;": "&amp;Anmeldung!$D$30&amp;", "&amp;Anmeldung!$E$30&amp;" / "&amp;Anmeldung!$G$30&amp;" / "&amp;Anmeldung!$J$30,"")</f>
        <v/>
      </c>
      <c r="BQ17" t="str">
        <f>IF(AND(23&lt;&gt;19,Anmeldung!$D$30&lt;&gt;"",(Anmeldung!$B$30&amp;": "&amp;Anmeldung!$D$30&amp;", "&amp;Anmeldung!$E$30&amp;" / "&amp;Anmeldung!$G$30&amp;" / "&amp;Anmeldung!$J$30)&lt;&gt;Anmeldung!$R$26),Anmeldung!$B$30&amp;": "&amp;Anmeldung!$D$30&amp;", "&amp;Anmeldung!$E$30&amp;" / "&amp;Anmeldung!$G$30&amp;" / "&amp;Anmeldung!$J$30,"")</f>
        <v/>
      </c>
      <c r="BR17" t="str">
        <f>IF(AND(22&lt;&gt;18,Anmeldung!$D$30&lt;&gt;"",Anmeldung!$U$30="Ja",Anmeldung!$G$30=Anmeldung!$G$26,Anmeldung!$J$30=Anmeldung!$J$26),Anmeldung!$B$30&amp;": "&amp;Anmeldung!$D$30&amp;", "&amp;Anmeldung!$E$30&amp;" / "&amp;Anmeldung!$G$30&amp;" / "&amp;Anmeldung!$J$30,"")</f>
        <v/>
      </c>
      <c r="BU17" t="str">
        <f>IF(AND(23&lt;&gt;20,Anmeldung!$D$30&lt;&gt;"",Anmeldung!$G$30=Anmeldung!$G$27,Anmeldung!$J$30=Anmeldung!$J$27),Anmeldung!$B$30&amp;": "&amp;Anmeldung!$D$30&amp;", "&amp;Anmeldung!$E$30&amp;" / "&amp;Anmeldung!$G$30&amp;" / "&amp;Anmeldung!$J$30,"")</f>
        <v/>
      </c>
      <c r="BV17" t="str">
        <f>IF(AND(23&lt;&gt;20,Anmeldung!$D$30&lt;&gt;"",Anmeldung!$G$30=Anmeldung!$G$27,Anmeldung!$J$30=Anmeldung!$J$27,(Anmeldung!$B$30&amp;": "&amp;Anmeldung!$D$30&amp;", "&amp;Anmeldung!$E$30&amp;" / "&amp;Anmeldung!$G$30&amp;" / "&amp;Anmeldung!$J$30)&lt;&gt;Anmeldung!$P$27),Anmeldung!$B$30&amp;": "&amp;Anmeldung!$D$30&amp;", "&amp;Anmeldung!$E$30&amp;" / "&amp;Anmeldung!$G$30&amp;" / "&amp;Anmeldung!$J$30,"")</f>
        <v/>
      </c>
      <c r="BW17" t="str">
        <f>IF(AND(23&lt;&gt;20,Anmeldung!$D$30&lt;&gt;"",Anmeldung!$G$30=Anmeldung!$G$27,Anmeldung!$J$30=Anmeldung!$J$27,(Anmeldung!$B$30&amp;": "&amp;Anmeldung!$D$30&amp;", "&amp;Anmeldung!$E$30&amp;" / "&amp;Anmeldung!$G$30&amp;" / "&amp;Anmeldung!$J$30)&lt;&gt;Anmeldung!$O$27),Anmeldung!$B$30&amp;": "&amp;Anmeldung!$D$30&amp;", "&amp;Anmeldung!$E$30&amp;" / "&amp;Anmeldung!$G$30&amp;" / "&amp;Anmeldung!$J$30,"")</f>
        <v/>
      </c>
      <c r="BX17" t="str">
        <f>IF(AND(23&lt;&gt;20,Anmeldung!$D$30&lt;&gt;"",Anmeldung!$G$30&lt;&gt;Anmeldung!$G$27,(Anmeldung!$B$30&amp;": "&amp;Anmeldung!$D$30&amp;", "&amp;Anmeldung!$E$30&amp;" / "&amp;Anmeldung!$G$30&amp;" / "&amp;Anmeldung!$J$30)&lt;&gt;Anmeldung!$S$27),Anmeldung!$B$30&amp;": "&amp;Anmeldung!$D$30&amp;", "&amp;Anmeldung!$E$30&amp;" / "&amp;Anmeldung!$G$30&amp;" / "&amp;Anmeldung!$J$30,"")</f>
        <v/>
      </c>
      <c r="BY17" t="str">
        <f>IF(AND(23&lt;&gt;20,Anmeldung!$D$30&lt;&gt;"",(Anmeldung!$B$30&amp;": "&amp;Anmeldung!$D$30&amp;", "&amp;Anmeldung!$E$30&amp;" / "&amp;Anmeldung!$G$30&amp;" / "&amp;Anmeldung!$J$30)&lt;&gt;Anmeldung!$R$27),Anmeldung!$B$30&amp;": "&amp;Anmeldung!$D$30&amp;", "&amp;Anmeldung!$E$30&amp;" / "&amp;Anmeldung!$G$30&amp;" / "&amp;Anmeldung!$J$30,"")</f>
        <v/>
      </c>
      <c r="BZ17" t="str">
        <f>IF(AND(22&lt;&gt;19,Anmeldung!$D$30&lt;&gt;"",Anmeldung!$U$30="Ja",Anmeldung!$G$30=Anmeldung!$G$27,Anmeldung!$J$30=Anmeldung!$J$27),Anmeldung!$B$30&amp;": "&amp;Anmeldung!$D$30&amp;", "&amp;Anmeldung!$E$30&amp;" / "&amp;Anmeldung!$G$30&amp;" / "&amp;Anmeldung!$J$30,"")</f>
        <v/>
      </c>
      <c r="CC17" t="str">
        <f>IF(AND(23&lt;&gt;21,Anmeldung!$D$30&lt;&gt;"",Anmeldung!$G$30=Anmeldung!$G$28,Anmeldung!$J$30=Anmeldung!$J$28),Anmeldung!$B$30&amp;": "&amp;Anmeldung!$D$30&amp;", "&amp;Anmeldung!$E$30&amp;" / "&amp;Anmeldung!$G$30&amp;" / "&amp;Anmeldung!$J$30,"")</f>
        <v/>
      </c>
      <c r="CD17" t="str">
        <f>IF(AND(23&lt;&gt;21,Anmeldung!$D$30&lt;&gt;"",Anmeldung!$G$30=Anmeldung!$G$28,Anmeldung!$J$30=Anmeldung!$J$28,(Anmeldung!$B$30&amp;": "&amp;Anmeldung!$D$30&amp;", "&amp;Anmeldung!$E$30&amp;" / "&amp;Anmeldung!$G$30&amp;" / "&amp;Anmeldung!$J$30)&lt;&gt;Anmeldung!$P$28),Anmeldung!$B$30&amp;": "&amp;Anmeldung!$D$30&amp;", "&amp;Anmeldung!$E$30&amp;" / "&amp;Anmeldung!$G$30&amp;" / "&amp;Anmeldung!$J$30,"")</f>
        <v/>
      </c>
      <c r="CE17" t="str">
        <f>IF(AND(23&lt;&gt;21,Anmeldung!$D$30&lt;&gt;"",Anmeldung!$G$30=Anmeldung!$G$28,Anmeldung!$J$30=Anmeldung!$J$28,(Anmeldung!$B$30&amp;": "&amp;Anmeldung!$D$30&amp;", "&amp;Anmeldung!$E$30&amp;" / "&amp;Anmeldung!$G$30&amp;" / "&amp;Anmeldung!$J$30)&lt;&gt;Anmeldung!$O$28),Anmeldung!$B$30&amp;": "&amp;Anmeldung!$D$30&amp;", "&amp;Anmeldung!$E$30&amp;" / "&amp;Anmeldung!$G$30&amp;" / "&amp;Anmeldung!$J$30,"")</f>
        <v/>
      </c>
      <c r="CF17" t="str">
        <f>IF(AND(23&lt;&gt;21,Anmeldung!$D$30&lt;&gt;"",Anmeldung!$G$30&lt;&gt;Anmeldung!$G$28,(Anmeldung!$B$30&amp;": "&amp;Anmeldung!$D$30&amp;", "&amp;Anmeldung!$E$30&amp;" / "&amp;Anmeldung!$G$30&amp;" / "&amp;Anmeldung!$J$30)&lt;&gt;Anmeldung!$S$28),Anmeldung!$B$30&amp;": "&amp;Anmeldung!$D$30&amp;", "&amp;Anmeldung!$E$30&amp;" / "&amp;Anmeldung!$G$30&amp;" / "&amp;Anmeldung!$J$30,"")</f>
        <v/>
      </c>
      <c r="CG17" t="str">
        <f>IF(AND(23&lt;&gt;21,Anmeldung!$D$30&lt;&gt;"",(Anmeldung!$B$30&amp;": "&amp;Anmeldung!$D$30&amp;", "&amp;Anmeldung!$E$30&amp;" / "&amp;Anmeldung!$G$30&amp;" / "&amp;Anmeldung!$J$30)&lt;&gt;Anmeldung!$R$28),Anmeldung!$B$30&amp;": "&amp;Anmeldung!$D$30&amp;", "&amp;Anmeldung!$E$30&amp;" / "&amp;Anmeldung!$G$30&amp;" / "&amp;Anmeldung!$J$30,"")</f>
        <v/>
      </c>
      <c r="CH17" t="str">
        <f>IF(AND(22&lt;&gt;20,Anmeldung!$D$30&lt;&gt;"",Anmeldung!$U$30="Ja",Anmeldung!$G$30=Anmeldung!$G$28,Anmeldung!$J$30=Anmeldung!$J$28),Anmeldung!$B$30&amp;": "&amp;Anmeldung!$D$30&amp;", "&amp;Anmeldung!$E$30&amp;" / "&amp;Anmeldung!$G$30&amp;" / "&amp;Anmeldung!$J$30,"")</f>
        <v/>
      </c>
      <c r="CK17" t="str">
        <f>IF(AND(23&lt;&gt;22,Anmeldung!$D$30&lt;&gt;"",Anmeldung!$G$30=Anmeldung!$G$29,Anmeldung!$J$30=Anmeldung!$J$29),Anmeldung!$B$30&amp;": "&amp;Anmeldung!$D$30&amp;", "&amp;Anmeldung!$E$30&amp;" / "&amp;Anmeldung!$G$30&amp;" / "&amp;Anmeldung!$J$30,"")</f>
        <v/>
      </c>
      <c r="CL17" t="str">
        <f>IF(AND(23&lt;&gt;22,Anmeldung!$D$30&lt;&gt;"",Anmeldung!$G$30=Anmeldung!$G$29,Anmeldung!$J$30=Anmeldung!$J$29,(Anmeldung!$B$30&amp;": "&amp;Anmeldung!$D$30&amp;", "&amp;Anmeldung!$E$30&amp;" / "&amp;Anmeldung!$G$30&amp;" / "&amp;Anmeldung!$J$30)&lt;&gt;Anmeldung!$P$29),Anmeldung!$B$30&amp;": "&amp;Anmeldung!$D$30&amp;", "&amp;Anmeldung!$E$30&amp;" / "&amp;Anmeldung!$G$30&amp;" / "&amp;Anmeldung!$J$30,"")</f>
        <v/>
      </c>
      <c r="CM17" t="str">
        <f>IF(AND(23&lt;&gt;22,Anmeldung!$D$30&lt;&gt;"",Anmeldung!$G$30=Anmeldung!$G$29,Anmeldung!$J$30=Anmeldung!$J$29,(Anmeldung!$B$30&amp;": "&amp;Anmeldung!$D$30&amp;", "&amp;Anmeldung!$E$30&amp;" / "&amp;Anmeldung!$G$30&amp;" / "&amp;Anmeldung!$J$30)&lt;&gt;Anmeldung!$O$29),Anmeldung!$B$30&amp;": "&amp;Anmeldung!$D$30&amp;", "&amp;Anmeldung!$E$30&amp;" / "&amp;Anmeldung!$G$30&amp;" / "&amp;Anmeldung!$J$30,"")</f>
        <v/>
      </c>
      <c r="CN17" t="str">
        <f>IF(AND(23&lt;&gt;22,Anmeldung!$D$30&lt;&gt;"",Anmeldung!$G$30&lt;&gt;Anmeldung!$G$29,(Anmeldung!$B$30&amp;": "&amp;Anmeldung!$D$30&amp;", "&amp;Anmeldung!$E$30&amp;" / "&amp;Anmeldung!$G$30&amp;" / "&amp;Anmeldung!$J$30)&lt;&gt;Anmeldung!$S$29),Anmeldung!$B$30&amp;": "&amp;Anmeldung!$D$30&amp;", "&amp;Anmeldung!$E$30&amp;" / "&amp;Anmeldung!$G$30&amp;" / "&amp;Anmeldung!$J$30,"")</f>
        <v/>
      </c>
      <c r="CO17" t="str">
        <f>IF(AND(23&lt;&gt;22,Anmeldung!$D$30&lt;&gt;"",(Anmeldung!$B$30&amp;": "&amp;Anmeldung!$D$30&amp;", "&amp;Anmeldung!$E$30&amp;" / "&amp;Anmeldung!$G$30&amp;" / "&amp;Anmeldung!$J$30)&lt;&gt;Anmeldung!$R$29),Anmeldung!$B$30&amp;": "&amp;Anmeldung!$D$30&amp;", "&amp;Anmeldung!$E$30&amp;" / "&amp;Anmeldung!$G$30&amp;" / "&amp;Anmeldung!$J$30,"")</f>
        <v/>
      </c>
      <c r="CP17" t="str">
        <f>IF(AND(22&lt;&gt;21,Anmeldung!$D$30&lt;&gt;"",Anmeldung!$U$30="Ja",Anmeldung!$G$30=Anmeldung!$G$29,Anmeldung!$J$30=Anmeldung!$J$29),Anmeldung!$B$30&amp;": "&amp;Anmeldung!$D$30&amp;", "&amp;Anmeldung!$E$30&amp;" / "&amp;Anmeldung!$G$30&amp;" / "&amp;Anmeldung!$J$30,"")</f>
        <v/>
      </c>
      <c r="CS17" t="str">
        <f>IF(AND(23&lt;&gt;23,Anmeldung!$D$30&lt;&gt;"",Anmeldung!$G$30=Anmeldung!$G$30,Anmeldung!$J$30=Anmeldung!$J$30),Anmeldung!$B$30&amp;": "&amp;Anmeldung!$D$30&amp;", "&amp;Anmeldung!$E$30&amp;" / "&amp;Anmeldung!$G$30&amp;" / "&amp;Anmeldung!$J$30,"")</f>
        <v/>
      </c>
      <c r="CT17" t="str">
        <f>IF(AND(23&lt;&gt;23,Anmeldung!$D$30&lt;&gt;"",Anmeldung!$G$30=Anmeldung!$G$30,Anmeldung!$J$30=Anmeldung!$J$30,(Anmeldung!$B$30&amp;": "&amp;Anmeldung!$D$30&amp;", "&amp;Anmeldung!$E$30&amp;" / "&amp;Anmeldung!$G$30&amp;" / "&amp;Anmeldung!$J$30)&lt;&gt;Anmeldung!$P$30),Anmeldung!$B$30&amp;": "&amp;Anmeldung!$D$30&amp;", "&amp;Anmeldung!$E$30&amp;" / "&amp;Anmeldung!$G$30&amp;" / "&amp;Anmeldung!$J$30,"")</f>
        <v/>
      </c>
      <c r="CU17" t="str">
        <f>IF(AND(23&lt;&gt;23,Anmeldung!$D$30&lt;&gt;"",Anmeldung!$G$30=Anmeldung!$G$30,Anmeldung!$J$30=Anmeldung!$J$30,(Anmeldung!$B$30&amp;": "&amp;Anmeldung!$D$30&amp;", "&amp;Anmeldung!$E$30&amp;" / "&amp;Anmeldung!$G$30&amp;" / "&amp;Anmeldung!$J$30)&lt;&gt;Anmeldung!$O$30),Anmeldung!$B$30&amp;": "&amp;Anmeldung!$D$30&amp;", "&amp;Anmeldung!$E$30&amp;" / "&amp;Anmeldung!$G$30&amp;" / "&amp;Anmeldung!$J$30,"")</f>
        <v/>
      </c>
      <c r="CV17" t="str">
        <f>IF(AND(23&lt;&gt;23,Anmeldung!$D$30&lt;&gt;"",Anmeldung!$G$30&lt;&gt;Anmeldung!$G$30,(Anmeldung!$B$30&amp;": "&amp;Anmeldung!$D$30&amp;", "&amp;Anmeldung!$E$30&amp;" / "&amp;Anmeldung!$G$30&amp;" / "&amp;Anmeldung!$J$30)&lt;&gt;Anmeldung!$S$30),Anmeldung!$B$30&amp;": "&amp;Anmeldung!$D$30&amp;", "&amp;Anmeldung!$E$30&amp;" / "&amp;Anmeldung!$G$30&amp;" / "&amp;Anmeldung!$J$30,"")</f>
        <v/>
      </c>
      <c r="CW17" t="str">
        <f>IF(AND(23&lt;&gt;23,Anmeldung!$D$30&lt;&gt;"",(Anmeldung!$B$30&amp;": "&amp;Anmeldung!$D$30&amp;", "&amp;Anmeldung!$E$30&amp;" / "&amp;Anmeldung!$G$30&amp;" / "&amp;Anmeldung!$J$30)&lt;&gt;Anmeldung!$R$30),Anmeldung!$B$30&amp;": "&amp;Anmeldung!$D$30&amp;", "&amp;Anmeldung!$E$30&amp;" / "&amp;Anmeldung!$G$30&amp;" / "&amp;Anmeldung!$J$30,"")</f>
        <v/>
      </c>
      <c r="CX17" t="str">
        <f>IF(AND(22&lt;&gt;22,Anmeldung!$D$30&lt;&gt;"",Anmeldung!$U$30="Ja",Anmeldung!$G$30=Anmeldung!$G$30,Anmeldung!$J$30=Anmeldung!$J$30),Anmeldung!$B$30&amp;": "&amp;Anmeldung!$D$30&amp;", "&amp;Anmeldung!$E$30&amp;" / "&amp;Anmeldung!$G$30&amp;" / "&amp;Anmeldung!$J$30,"")</f>
        <v/>
      </c>
      <c r="DA17" t="str">
        <f>IF(AND(23&lt;&gt;24,Anmeldung!$D$30&lt;&gt;"",Anmeldung!$G$30=Anmeldung!$G$31,Anmeldung!$J$30=Anmeldung!$J$31),Anmeldung!$B$30&amp;": "&amp;Anmeldung!$D$30&amp;", "&amp;Anmeldung!$E$30&amp;" / "&amp;Anmeldung!$G$30&amp;" / "&amp;Anmeldung!$J$30,"")</f>
        <v/>
      </c>
      <c r="DB17" t="str">
        <f>IF(AND(23&lt;&gt;24,Anmeldung!$D$30&lt;&gt;"",Anmeldung!$G$30=Anmeldung!$G$31,Anmeldung!$J$30=Anmeldung!$J$31,(Anmeldung!$B$30&amp;": "&amp;Anmeldung!$D$30&amp;", "&amp;Anmeldung!$E$30&amp;" / "&amp;Anmeldung!$G$30&amp;" / "&amp;Anmeldung!$J$30)&lt;&gt;Anmeldung!$P$31),Anmeldung!$B$30&amp;": "&amp;Anmeldung!$D$30&amp;", "&amp;Anmeldung!$E$30&amp;" / "&amp;Anmeldung!$G$30&amp;" / "&amp;Anmeldung!$J$30,"")</f>
        <v/>
      </c>
      <c r="DC17" t="str">
        <f>IF(AND(23&lt;&gt;24,Anmeldung!$D$30&lt;&gt;"",Anmeldung!$G$30=Anmeldung!$G$31,Anmeldung!$J$30=Anmeldung!$J$31,(Anmeldung!$B$30&amp;": "&amp;Anmeldung!$D$30&amp;", "&amp;Anmeldung!$E$30&amp;" / "&amp;Anmeldung!$G$30&amp;" / "&amp;Anmeldung!$J$30)&lt;&gt;Anmeldung!$O$31),Anmeldung!$B$30&amp;": "&amp;Anmeldung!$D$30&amp;", "&amp;Anmeldung!$E$30&amp;" / "&amp;Anmeldung!$G$30&amp;" / "&amp;Anmeldung!$J$30,"")</f>
        <v/>
      </c>
      <c r="DD17" t="str">
        <f>IF(AND(23&lt;&gt;24,Anmeldung!$D$30&lt;&gt;"",Anmeldung!$G$30&lt;&gt;Anmeldung!$G$31,(Anmeldung!$B$30&amp;": "&amp;Anmeldung!$D$30&amp;", "&amp;Anmeldung!$E$30&amp;" / "&amp;Anmeldung!$G$30&amp;" / "&amp;Anmeldung!$J$30)&lt;&gt;Anmeldung!$S$31),Anmeldung!$B$30&amp;": "&amp;Anmeldung!$D$30&amp;", "&amp;Anmeldung!$E$30&amp;" / "&amp;Anmeldung!$G$30&amp;" / "&amp;Anmeldung!$J$30,"")</f>
        <v/>
      </c>
      <c r="DE17" t="str">
        <f>IF(AND(23&lt;&gt;24,Anmeldung!$D$30&lt;&gt;"",(Anmeldung!$B$30&amp;": "&amp;Anmeldung!$D$30&amp;", "&amp;Anmeldung!$E$30&amp;" / "&amp;Anmeldung!$G$30&amp;" / "&amp;Anmeldung!$J$30)&lt;&gt;Anmeldung!$R$31),Anmeldung!$B$30&amp;": "&amp;Anmeldung!$D$30&amp;", "&amp;Anmeldung!$E$30&amp;" / "&amp;Anmeldung!$G$30&amp;" / "&amp;Anmeldung!$J$30,"")</f>
        <v/>
      </c>
      <c r="DF17" t="str">
        <f>IF(AND(22&lt;&gt;23,Anmeldung!$D$30&lt;&gt;"",Anmeldung!$U$30="Ja",Anmeldung!$G$30=Anmeldung!$G$31,Anmeldung!$J$30=Anmeldung!$J$31),Anmeldung!$B$30&amp;": "&amp;Anmeldung!$D$30&amp;", "&amp;Anmeldung!$E$30&amp;" / "&amp;Anmeldung!$G$30&amp;" / "&amp;Anmeldung!$J$30,"")</f>
        <v/>
      </c>
      <c r="DI17" t="str">
        <f>IF(AND(23&lt;&gt;25,Anmeldung!$D$30&lt;&gt;"",Anmeldung!$G$30=Anmeldung!$G$32,Anmeldung!$J$30=Anmeldung!$J$32),Anmeldung!$B$30&amp;": "&amp;Anmeldung!$D$30&amp;", "&amp;Anmeldung!$E$30&amp;" / "&amp;Anmeldung!$G$30&amp;" / "&amp;Anmeldung!$J$30,"")</f>
        <v/>
      </c>
      <c r="DJ17" t="str">
        <f>IF(AND(23&lt;&gt;25,Anmeldung!$D$30&lt;&gt;"",Anmeldung!$G$30=Anmeldung!$G$32,Anmeldung!$J$30=Anmeldung!$J$32,(Anmeldung!$B$30&amp;": "&amp;Anmeldung!$D$30&amp;", "&amp;Anmeldung!$E$30&amp;" / "&amp;Anmeldung!$G$30&amp;" / "&amp;Anmeldung!$J$30)&lt;&gt;Anmeldung!$P$32),Anmeldung!$B$30&amp;": "&amp;Anmeldung!$D$30&amp;", "&amp;Anmeldung!$E$30&amp;" / "&amp;Anmeldung!$G$30&amp;" / "&amp;Anmeldung!$J$30,"")</f>
        <v/>
      </c>
      <c r="DK17" t="str">
        <f>IF(AND(23&lt;&gt;25,Anmeldung!$D$30&lt;&gt;"",Anmeldung!$G$30=Anmeldung!$G$32,Anmeldung!$J$30=Anmeldung!$J$32,(Anmeldung!$B$30&amp;": "&amp;Anmeldung!$D$30&amp;", "&amp;Anmeldung!$E$30&amp;" / "&amp;Anmeldung!$G$30&amp;" / "&amp;Anmeldung!$J$30)&lt;&gt;Anmeldung!$O$32),Anmeldung!$B$30&amp;": "&amp;Anmeldung!$D$30&amp;", "&amp;Anmeldung!$E$30&amp;" / "&amp;Anmeldung!$G$30&amp;" / "&amp;Anmeldung!$J$30,"")</f>
        <v/>
      </c>
      <c r="DL17" t="str">
        <f>IF(AND(23&lt;&gt;25,Anmeldung!$D$30&lt;&gt;"",Anmeldung!$G$30&lt;&gt;Anmeldung!$G$32,(Anmeldung!$B$30&amp;": "&amp;Anmeldung!$D$30&amp;", "&amp;Anmeldung!$E$30&amp;" / "&amp;Anmeldung!$G$30&amp;" / "&amp;Anmeldung!$J$30)&lt;&gt;Anmeldung!$S$32),Anmeldung!$B$30&amp;": "&amp;Anmeldung!$D$30&amp;", "&amp;Anmeldung!$E$30&amp;" / "&amp;Anmeldung!$G$30&amp;" / "&amp;Anmeldung!$J$30,"")</f>
        <v/>
      </c>
      <c r="DM17" t="str">
        <f>IF(AND(23&lt;&gt;25,Anmeldung!$D$30&lt;&gt;"",(Anmeldung!$B$30&amp;": "&amp;Anmeldung!$D$30&amp;", "&amp;Anmeldung!$E$30&amp;" / "&amp;Anmeldung!$G$30&amp;" / "&amp;Anmeldung!$J$30)&lt;&gt;Anmeldung!$R$32),Anmeldung!$B$30&amp;": "&amp;Anmeldung!$D$30&amp;", "&amp;Anmeldung!$E$30&amp;" / "&amp;Anmeldung!$G$30&amp;" / "&amp;Anmeldung!$J$30,"")</f>
        <v/>
      </c>
      <c r="DN17" t="str">
        <f>IF(AND(22&lt;&gt;24,Anmeldung!$D$30&lt;&gt;"",Anmeldung!$U$30="Ja",Anmeldung!$G$30=Anmeldung!$G$32,Anmeldung!$J$30=Anmeldung!$J$32),Anmeldung!$B$30&amp;": "&amp;Anmeldung!$D$30&amp;", "&amp;Anmeldung!$E$30&amp;" / "&amp;Anmeldung!$G$30&amp;" / "&amp;Anmeldung!$J$30,"")</f>
        <v/>
      </c>
      <c r="DQ17" t="str">
        <f>IF(AND(23&lt;&gt;26,Anmeldung!$D$30&lt;&gt;"",Anmeldung!$G$30=Anmeldung!$G$33,Anmeldung!$J$30=Anmeldung!$J$33),Anmeldung!$B$30&amp;": "&amp;Anmeldung!$D$30&amp;", "&amp;Anmeldung!$E$30&amp;" / "&amp;Anmeldung!$G$30&amp;" / "&amp;Anmeldung!$J$30,"")</f>
        <v/>
      </c>
      <c r="DR17" t="str">
        <f>IF(AND(23&lt;&gt;26,Anmeldung!$D$30&lt;&gt;"",Anmeldung!$G$30=Anmeldung!$G$33,Anmeldung!$J$30=Anmeldung!$J$33,(Anmeldung!$B$30&amp;": "&amp;Anmeldung!$D$30&amp;", "&amp;Anmeldung!$E$30&amp;" / "&amp;Anmeldung!$G$30&amp;" / "&amp;Anmeldung!$J$30)&lt;&gt;Anmeldung!$P$33),Anmeldung!$B$30&amp;": "&amp;Anmeldung!$D$30&amp;", "&amp;Anmeldung!$E$30&amp;" / "&amp;Anmeldung!$G$30&amp;" / "&amp;Anmeldung!$J$30,"")</f>
        <v/>
      </c>
      <c r="DS17" t="str">
        <f>IF(AND(23&lt;&gt;26,Anmeldung!$D$30&lt;&gt;"",Anmeldung!$G$30=Anmeldung!$G$33,Anmeldung!$J$30=Anmeldung!$J$33,(Anmeldung!$B$30&amp;": "&amp;Anmeldung!$D$30&amp;", "&amp;Anmeldung!$E$30&amp;" / "&amp;Anmeldung!$G$30&amp;" / "&amp;Anmeldung!$J$30)&lt;&gt;Anmeldung!$O$33),Anmeldung!$B$30&amp;": "&amp;Anmeldung!$D$30&amp;", "&amp;Anmeldung!$E$30&amp;" / "&amp;Anmeldung!$G$30&amp;" / "&amp;Anmeldung!$J$30,"")</f>
        <v/>
      </c>
      <c r="DT17" t="str">
        <f>IF(AND(23&lt;&gt;26,Anmeldung!$D$30&lt;&gt;"",Anmeldung!$G$30&lt;&gt;Anmeldung!$G$33,(Anmeldung!$B$30&amp;": "&amp;Anmeldung!$D$30&amp;", "&amp;Anmeldung!$E$30&amp;" / "&amp;Anmeldung!$G$30&amp;" / "&amp;Anmeldung!$J$30)&lt;&gt;Anmeldung!$S$33),Anmeldung!$B$30&amp;": "&amp;Anmeldung!$D$30&amp;", "&amp;Anmeldung!$E$30&amp;" / "&amp;Anmeldung!$G$30&amp;" / "&amp;Anmeldung!$J$30,"")</f>
        <v/>
      </c>
      <c r="DU17" t="str">
        <f>IF(AND(23&lt;&gt;26,Anmeldung!$D$30&lt;&gt;"",(Anmeldung!$B$30&amp;": "&amp;Anmeldung!$D$30&amp;", "&amp;Anmeldung!$E$30&amp;" / "&amp;Anmeldung!$G$30&amp;" / "&amp;Anmeldung!$J$30)&lt;&gt;Anmeldung!$R$33),Anmeldung!$B$30&amp;": "&amp;Anmeldung!$D$30&amp;", "&amp;Anmeldung!$E$30&amp;" / "&amp;Anmeldung!$G$30&amp;" / "&amp;Anmeldung!$J$30,"")</f>
        <v/>
      </c>
      <c r="DV17" t="str">
        <f>IF(AND(22&lt;&gt;25,Anmeldung!$D$30&lt;&gt;"",Anmeldung!$U$30="Ja",Anmeldung!$G$30=Anmeldung!$G$33,Anmeldung!$J$30=Anmeldung!$J$33),Anmeldung!$B$30&amp;": "&amp;Anmeldung!$D$30&amp;", "&amp;Anmeldung!$E$30&amp;" / "&amp;Anmeldung!$G$30&amp;" / "&amp;Anmeldung!$J$30,"")</f>
        <v/>
      </c>
      <c r="DY17" t="str">
        <f>IF(AND(23&lt;&gt;27,Anmeldung!$D$30&lt;&gt;"",Anmeldung!$G$30=Anmeldung!$G$34,Anmeldung!$J$30=Anmeldung!$J$34),Anmeldung!$B$30&amp;": "&amp;Anmeldung!$D$30&amp;", "&amp;Anmeldung!$E$30&amp;" / "&amp;Anmeldung!$G$30&amp;" / "&amp;Anmeldung!$J$30,"")</f>
        <v/>
      </c>
      <c r="DZ17" t="str">
        <f>IF(AND(23&lt;&gt;27,Anmeldung!$D$30&lt;&gt;"",Anmeldung!$G$30=Anmeldung!$G$34,Anmeldung!$J$30=Anmeldung!$J$34,(Anmeldung!$B$30&amp;": "&amp;Anmeldung!$D$30&amp;", "&amp;Anmeldung!$E$30&amp;" / "&amp;Anmeldung!$G$30&amp;" / "&amp;Anmeldung!$J$30)&lt;&gt;Anmeldung!$P$34),Anmeldung!$B$30&amp;": "&amp;Anmeldung!$D$30&amp;", "&amp;Anmeldung!$E$30&amp;" / "&amp;Anmeldung!$G$30&amp;" / "&amp;Anmeldung!$J$30,"")</f>
        <v/>
      </c>
      <c r="EA17" t="str">
        <f>IF(AND(23&lt;&gt;27,Anmeldung!$D$30&lt;&gt;"",Anmeldung!$G$30=Anmeldung!$G$34,Anmeldung!$J$30=Anmeldung!$J$34,(Anmeldung!$B$30&amp;": "&amp;Anmeldung!$D$30&amp;", "&amp;Anmeldung!$E$30&amp;" / "&amp;Anmeldung!$G$30&amp;" / "&amp;Anmeldung!$J$30)&lt;&gt;Anmeldung!$O$34),Anmeldung!$B$30&amp;": "&amp;Anmeldung!$D$30&amp;", "&amp;Anmeldung!$E$30&amp;" / "&amp;Anmeldung!$G$30&amp;" / "&amp;Anmeldung!$J$30,"")</f>
        <v/>
      </c>
      <c r="EB17" t="str">
        <f>IF(AND(23&lt;&gt;27,Anmeldung!$D$30&lt;&gt;"",Anmeldung!$G$30&lt;&gt;Anmeldung!$G$34,(Anmeldung!$B$30&amp;": "&amp;Anmeldung!$D$30&amp;", "&amp;Anmeldung!$E$30&amp;" / "&amp;Anmeldung!$G$30&amp;" / "&amp;Anmeldung!$J$30)&lt;&gt;Anmeldung!$S$34),Anmeldung!$B$30&amp;": "&amp;Anmeldung!$D$30&amp;", "&amp;Anmeldung!$E$30&amp;" / "&amp;Anmeldung!$G$30&amp;" / "&amp;Anmeldung!$J$30,"")</f>
        <v/>
      </c>
      <c r="EC17" t="str">
        <f>IF(AND(23&lt;&gt;27,Anmeldung!$D$30&lt;&gt;"",(Anmeldung!$B$30&amp;": "&amp;Anmeldung!$D$30&amp;", "&amp;Anmeldung!$E$30&amp;" / "&amp;Anmeldung!$G$30&amp;" / "&amp;Anmeldung!$J$30)&lt;&gt;Anmeldung!$R$34),Anmeldung!$B$30&amp;": "&amp;Anmeldung!$D$30&amp;", "&amp;Anmeldung!$E$30&amp;" / "&amp;Anmeldung!$G$30&amp;" / "&amp;Anmeldung!$J$30,"")</f>
        <v/>
      </c>
      <c r="ED17" t="str">
        <f>IF(AND(22&lt;&gt;26,Anmeldung!$D$30&lt;&gt;"",Anmeldung!$U$30="Ja",Anmeldung!$G$30=Anmeldung!$G$34,Anmeldung!$J$30=Anmeldung!$J$34),Anmeldung!$B$30&amp;": "&amp;Anmeldung!$D$30&amp;", "&amp;Anmeldung!$E$30&amp;" / "&amp;Anmeldung!$G$30&amp;" / "&amp;Anmeldung!$J$30,"")</f>
        <v/>
      </c>
      <c r="EG17" t="str">
        <f>IF(AND(23&lt;&gt;28,Anmeldung!$D$30&lt;&gt;"",Anmeldung!$G$30=Anmeldung!$G$35,Anmeldung!$J$30=Anmeldung!$J$35),Anmeldung!$B$30&amp;": "&amp;Anmeldung!$D$30&amp;", "&amp;Anmeldung!$E$30&amp;" / "&amp;Anmeldung!$G$30&amp;" / "&amp;Anmeldung!$J$30,"")</f>
        <v/>
      </c>
      <c r="EH17" t="str">
        <f>IF(AND(23&lt;&gt;28,Anmeldung!$D$30&lt;&gt;"",Anmeldung!$G$30=Anmeldung!$G$35,Anmeldung!$J$30=Anmeldung!$J$35,(Anmeldung!$B$30&amp;": "&amp;Anmeldung!$D$30&amp;", "&amp;Anmeldung!$E$30&amp;" / "&amp;Anmeldung!$G$30&amp;" / "&amp;Anmeldung!$J$30)&lt;&gt;Anmeldung!$P$35),Anmeldung!$B$30&amp;": "&amp;Anmeldung!$D$30&amp;", "&amp;Anmeldung!$E$30&amp;" / "&amp;Anmeldung!$G$30&amp;" / "&amp;Anmeldung!$J$30,"")</f>
        <v/>
      </c>
      <c r="EI17" t="str">
        <f>IF(AND(23&lt;&gt;28,Anmeldung!$D$30&lt;&gt;"",Anmeldung!$G$30=Anmeldung!$G$35,Anmeldung!$J$30=Anmeldung!$J$35,(Anmeldung!$B$30&amp;": "&amp;Anmeldung!$D$30&amp;", "&amp;Anmeldung!$E$30&amp;" / "&amp;Anmeldung!$G$30&amp;" / "&amp;Anmeldung!$J$30)&lt;&gt;Anmeldung!$O$35),Anmeldung!$B$30&amp;": "&amp;Anmeldung!$D$30&amp;", "&amp;Anmeldung!$E$30&amp;" / "&amp;Anmeldung!$G$30&amp;" / "&amp;Anmeldung!$J$30,"")</f>
        <v/>
      </c>
      <c r="EJ17" t="str">
        <f>IF(AND(23&lt;&gt;28,Anmeldung!$D$30&lt;&gt;"",Anmeldung!$G$30&lt;&gt;Anmeldung!$G$35,(Anmeldung!$B$30&amp;": "&amp;Anmeldung!$D$30&amp;", "&amp;Anmeldung!$E$30&amp;" / "&amp;Anmeldung!$G$30&amp;" / "&amp;Anmeldung!$J$30)&lt;&gt;Anmeldung!$S$35),Anmeldung!$B$30&amp;": "&amp;Anmeldung!$D$30&amp;", "&amp;Anmeldung!$E$30&amp;" / "&amp;Anmeldung!$G$30&amp;" / "&amp;Anmeldung!$J$30,"")</f>
        <v/>
      </c>
      <c r="EK17" t="str">
        <f>IF(AND(23&lt;&gt;28,Anmeldung!$D$30&lt;&gt;"",(Anmeldung!$B$30&amp;": "&amp;Anmeldung!$D$30&amp;", "&amp;Anmeldung!$E$30&amp;" / "&amp;Anmeldung!$G$30&amp;" / "&amp;Anmeldung!$J$30)&lt;&gt;Anmeldung!$R$35),Anmeldung!$B$30&amp;": "&amp;Anmeldung!$D$30&amp;", "&amp;Anmeldung!$E$30&amp;" / "&amp;Anmeldung!$G$30&amp;" / "&amp;Anmeldung!$J$30,"")</f>
        <v/>
      </c>
      <c r="EL17" t="str">
        <f>IF(AND(22&lt;&gt;27,Anmeldung!$D$30&lt;&gt;"",Anmeldung!$U$30="Ja",Anmeldung!$G$30=Anmeldung!$G$35,Anmeldung!$J$30=Anmeldung!$J$35),Anmeldung!$B$30&amp;": "&amp;Anmeldung!$D$30&amp;", "&amp;Anmeldung!$E$30&amp;" / "&amp;Anmeldung!$G$30&amp;" / "&amp;Anmeldung!$J$30,"")</f>
        <v/>
      </c>
      <c r="EO17" t="str">
        <f>IF(AND(23&lt;&gt;29,Anmeldung!$D$30&lt;&gt;"",Anmeldung!$G$30=Anmeldung!$G$36,Anmeldung!$J$30=Anmeldung!$J$36),Anmeldung!$B$30&amp;": "&amp;Anmeldung!$D$30&amp;", "&amp;Anmeldung!$E$30&amp;" / "&amp;Anmeldung!$G$30&amp;" / "&amp;Anmeldung!$J$30,"")</f>
        <v/>
      </c>
      <c r="EP17" t="str">
        <f>IF(AND(23&lt;&gt;29,Anmeldung!$D$30&lt;&gt;"",Anmeldung!$G$30=Anmeldung!$G$36,Anmeldung!$J$30=Anmeldung!$J$36,(Anmeldung!$B$30&amp;": "&amp;Anmeldung!$D$30&amp;", "&amp;Anmeldung!$E$30&amp;" / "&amp;Anmeldung!$G$30&amp;" / "&amp;Anmeldung!$J$30)&lt;&gt;Anmeldung!$P$36),Anmeldung!$B$30&amp;": "&amp;Anmeldung!$D$30&amp;", "&amp;Anmeldung!$E$30&amp;" / "&amp;Anmeldung!$G$30&amp;" / "&amp;Anmeldung!$J$30,"")</f>
        <v/>
      </c>
      <c r="EQ17" t="str">
        <f>IF(AND(23&lt;&gt;29,Anmeldung!$D$30&lt;&gt;"",Anmeldung!$G$30=Anmeldung!$G$36,Anmeldung!$J$30=Anmeldung!$J$36,(Anmeldung!$B$30&amp;": "&amp;Anmeldung!$D$30&amp;", "&amp;Anmeldung!$E$30&amp;" / "&amp;Anmeldung!$G$30&amp;" / "&amp;Anmeldung!$J$30)&lt;&gt;Anmeldung!$O$36),Anmeldung!$B$30&amp;": "&amp;Anmeldung!$D$30&amp;", "&amp;Anmeldung!$E$30&amp;" / "&amp;Anmeldung!$G$30&amp;" / "&amp;Anmeldung!$J$30,"")</f>
        <v/>
      </c>
      <c r="ER17" t="str">
        <f>IF(AND(23&lt;&gt;29,Anmeldung!$D$30&lt;&gt;"",Anmeldung!$G$30&lt;&gt;Anmeldung!$G$36,(Anmeldung!$B$30&amp;": "&amp;Anmeldung!$D$30&amp;", "&amp;Anmeldung!$E$30&amp;" / "&amp;Anmeldung!$G$30&amp;" / "&amp;Anmeldung!$J$30)&lt;&gt;Anmeldung!$S$36),Anmeldung!$B$30&amp;": "&amp;Anmeldung!$D$30&amp;", "&amp;Anmeldung!$E$30&amp;" / "&amp;Anmeldung!$G$30&amp;" / "&amp;Anmeldung!$J$30,"")</f>
        <v/>
      </c>
      <c r="ES17" t="str">
        <f>IF(AND(23&lt;&gt;29,Anmeldung!$D$30&lt;&gt;"",(Anmeldung!$B$30&amp;": "&amp;Anmeldung!$D$30&amp;", "&amp;Anmeldung!$E$30&amp;" / "&amp;Anmeldung!$G$30&amp;" / "&amp;Anmeldung!$J$30)&lt;&gt;Anmeldung!$R$36),Anmeldung!$B$30&amp;": "&amp;Anmeldung!$D$30&amp;", "&amp;Anmeldung!$E$30&amp;" / "&amp;Anmeldung!$G$30&amp;" / "&amp;Anmeldung!$J$30,"")</f>
        <v/>
      </c>
      <c r="ET17" t="str">
        <f>IF(AND(22&lt;&gt;28,Anmeldung!$D$30&lt;&gt;"",Anmeldung!$U$30="Ja",Anmeldung!$G$30=Anmeldung!$G$36,Anmeldung!$J$30=Anmeldung!$J$36),Anmeldung!$B$30&amp;": "&amp;Anmeldung!$D$30&amp;", "&amp;Anmeldung!$E$30&amp;" / "&amp;Anmeldung!$G$30&amp;" / "&amp;Anmeldung!$J$30,"")</f>
        <v/>
      </c>
      <c r="EW17" t="str">
        <f>IF(AND(23&lt;&gt;30,Anmeldung!$D$30&lt;&gt;"",Anmeldung!$G$30=Anmeldung!$G$37,Anmeldung!$J$30=Anmeldung!$J$37),Anmeldung!$B$30&amp;": "&amp;Anmeldung!$D$30&amp;", "&amp;Anmeldung!$E$30&amp;" / "&amp;Anmeldung!$G$30&amp;" / "&amp;Anmeldung!$J$30,"")</f>
        <v/>
      </c>
      <c r="EX17" t="str">
        <f>IF(AND(23&lt;&gt;30,Anmeldung!$D$30&lt;&gt;"",Anmeldung!$G$30=Anmeldung!$G$37,Anmeldung!$J$30=Anmeldung!$J$37,(Anmeldung!$B$30&amp;": "&amp;Anmeldung!$D$30&amp;", "&amp;Anmeldung!$E$30&amp;" / "&amp;Anmeldung!$G$30&amp;" / "&amp;Anmeldung!$J$30)&lt;&gt;Anmeldung!$P$37),Anmeldung!$B$30&amp;": "&amp;Anmeldung!$D$30&amp;", "&amp;Anmeldung!$E$30&amp;" / "&amp;Anmeldung!$G$30&amp;" / "&amp;Anmeldung!$J$30,"")</f>
        <v/>
      </c>
      <c r="EY17" t="str">
        <f>IF(AND(23&lt;&gt;30,Anmeldung!$D$30&lt;&gt;"",Anmeldung!$G$30=Anmeldung!$G$37,Anmeldung!$J$30=Anmeldung!$J$37,(Anmeldung!$B$30&amp;": "&amp;Anmeldung!$D$30&amp;", "&amp;Anmeldung!$E$30&amp;" / "&amp;Anmeldung!$G$30&amp;" / "&amp;Anmeldung!$J$30)&lt;&gt;Anmeldung!$O$37),Anmeldung!$B$30&amp;": "&amp;Anmeldung!$D$30&amp;", "&amp;Anmeldung!$E$30&amp;" / "&amp;Anmeldung!$G$30&amp;" / "&amp;Anmeldung!$J$30,"")</f>
        <v/>
      </c>
      <c r="EZ17" t="str">
        <f>IF(AND(23&lt;&gt;30,Anmeldung!$D$30&lt;&gt;"",Anmeldung!$G$30&lt;&gt;Anmeldung!$G$37,(Anmeldung!$B$30&amp;": "&amp;Anmeldung!$D$30&amp;", "&amp;Anmeldung!$E$30&amp;" / "&amp;Anmeldung!$G$30&amp;" / "&amp;Anmeldung!$J$30)&lt;&gt;Anmeldung!$S$37),Anmeldung!$B$30&amp;": "&amp;Anmeldung!$D$30&amp;", "&amp;Anmeldung!$E$30&amp;" / "&amp;Anmeldung!$G$30&amp;" / "&amp;Anmeldung!$J$30,"")</f>
        <v/>
      </c>
      <c r="FA17" t="str">
        <f>IF(AND(23&lt;&gt;30,Anmeldung!$D$30&lt;&gt;"",(Anmeldung!$B$30&amp;": "&amp;Anmeldung!$D$30&amp;", "&amp;Anmeldung!$E$30&amp;" / "&amp;Anmeldung!$G$30&amp;" / "&amp;Anmeldung!$J$30)&lt;&gt;Anmeldung!$R$37),Anmeldung!$B$30&amp;": "&amp;Anmeldung!$D$30&amp;", "&amp;Anmeldung!$E$30&amp;" / "&amp;Anmeldung!$G$30&amp;" / "&amp;Anmeldung!$J$30,"")</f>
        <v/>
      </c>
      <c r="FB17" t="str">
        <f>IF(AND(22&lt;&gt;29,Anmeldung!$D$30&lt;&gt;"",Anmeldung!$U$30="Ja",Anmeldung!$G$30=Anmeldung!$G$37,Anmeldung!$J$30=Anmeldung!$J$37),Anmeldung!$B$30&amp;": "&amp;Anmeldung!$D$30&amp;", "&amp;Anmeldung!$E$30&amp;" / "&amp;Anmeldung!$G$30&amp;" / "&amp;Anmeldung!$J$30,"")</f>
        <v/>
      </c>
      <c r="FE17" t="str">
        <f>IF(AND(23&lt;&gt;31,Anmeldung!$D$30&lt;&gt;"",Anmeldung!$G$30=Anmeldung!$G$38,Anmeldung!$J$30=Anmeldung!$J$38),Anmeldung!$B$30&amp;": "&amp;Anmeldung!$D$30&amp;", "&amp;Anmeldung!$E$30&amp;" / "&amp;Anmeldung!$G$30&amp;" / "&amp;Anmeldung!$J$30,"")</f>
        <v/>
      </c>
      <c r="FF17" t="str">
        <f>IF(AND(23&lt;&gt;31,Anmeldung!$D$30&lt;&gt;"",Anmeldung!$G$30=Anmeldung!$G$38,Anmeldung!$J$30=Anmeldung!$J$38,(Anmeldung!$B$30&amp;": "&amp;Anmeldung!$D$30&amp;", "&amp;Anmeldung!$E$30&amp;" / "&amp;Anmeldung!$G$30&amp;" / "&amp;Anmeldung!$J$30)&lt;&gt;Anmeldung!$P$38),Anmeldung!$B$30&amp;": "&amp;Anmeldung!$D$30&amp;", "&amp;Anmeldung!$E$30&amp;" / "&amp;Anmeldung!$G$30&amp;" / "&amp;Anmeldung!$J$30,"")</f>
        <v/>
      </c>
      <c r="FG17" t="str">
        <f>IF(AND(23&lt;&gt;31,Anmeldung!$D$30&lt;&gt;"",Anmeldung!$G$30=Anmeldung!$G$38,Anmeldung!$J$30=Anmeldung!$J$38,(Anmeldung!$B$30&amp;": "&amp;Anmeldung!$D$30&amp;", "&amp;Anmeldung!$E$30&amp;" / "&amp;Anmeldung!$G$30&amp;" / "&amp;Anmeldung!$J$30)&lt;&gt;Anmeldung!$O$38),Anmeldung!$B$30&amp;": "&amp;Anmeldung!$D$30&amp;", "&amp;Anmeldung!$E$30&amp;" / "&amp;Anmeldung!$G$30&amp;" / "&amp;Anmeldung!$J$30,"")</f>
        <v/>
      </c>
      <c r="FH17" t="str">
        <f>IF(AND(23&lt;&gt;31,Anmeldung!$D$30&lt;&gt;"",Anmeldung!$G$30&lt;&gt;Anmeldung!$G$38,(Anmeldung!$B$30&amp;": "&amp;Anmeldung!$D$30&amp;", "&amp;Anmeldung!$E$30&amp;" / "&amp;Anmeldung!$G$30&amp;" / "&amp;Anmeldung!$J$30)&lt;&gt;Anmeldung!$S$38),Anmeldung!$B$30&amp;": "&amp;Anmeldung!$D$30&amp;", "&amp;Anmeldung!$E$30&amp;" / "&amp;Anmeldung!$G$30&amp;" / "&amp;Anmeldung!$J$30,"")</f>
        <v/>
      </c>
      <c r="FI17" t="str">
        <f>IF(AND(23&lt;&gt;31,Anmeldung!$D$30&lt;&gt;"",(Anmeldung!$B$30&amp;": "&amp;Anmeldung!$D$30&amp;", "&amp;Anmeldung!$E$30&amp;" / "&amp;Anmeldung!$G$30&amp;" / "&amp;Anmeldung!$J$30)&lt;&gt;Anmeldung!$R$38),Anmeldung!$B$30&amp;": "&amp;Anmeldung!$D$30&amp;", "&amp;Anmeldung!$E$30&amp;" / "&amp;Anmeldung!$G$30&amp;" / "&amp;Anmeldung!$J$30,"")</f>
        <v/>
      </c>
      <c r="FJ17" t="str">
        <f>IF(AND(22&lt;&gt;30,Anmeldung!$D$30&lt;&gt;"",Anmeldung!$U$30="Ja",Anmeldung!$G$30=Anmeldung!$G$38,Anmeldung!$J$30=Anmeldung!$J$38),Anmeldung!$B$30&amp;": "&amp;Anmeldung!$D$30&amp;", "&amp;Anmeldung!$E$30&amp;" / "&amp;Anmeldung!$G$30&amp;" / "&amp;Anmeldung!$J$30,"")</f>
        <v/>
      </c>
      <c r="FM17" t="str">
        <f>IF(AND(23&lt;&gt;32,Anmeldung!$D$30&lt;&gt;"",Anmeldung!$G$30=Anmeldung!$G$39,Anmeldung!$J$30=Anmeldung!$J$39),Anmeldung!$B$30&amp;": "&amp;Anmeldung!$D$30&amp;", "&amp;Anmeldung!$E$30&amp;" / "&amp;Anmeldung!$G$30&amp;" / "&amp;Anmeldung!$J$30,"")</f>
        <v/>
      </c>
      <c r="FN17" t="str">
        <f>IF(AND(23&lt;&gt;32,Anmeldung!$D$30&lt;&gt;"",Anmeldung!$G$30=Anmeldung!$G$39,Anmeldung!$J$30=Anmeldung!$J$39,(Anmeldung!$B$30&amp;": "&amp;Anmeldung!$D$30&amp;", "&amp;Anmeldung!$E$30&amp;" / "&amp;Anmeldung!$G$30&amp;" / "&amp;Anmeldung!$J$30)&lt;&gt;Anmeldung!$P$39),Anmeldung!$B$30&amp;": "&amp;Anmeldung!$D$30&amp;", "&amp;Anmeldung!$E$30&amp;" / "&amp;Anmeldung!$G$30&amp;" / "&amp;Anmeldung!$J$30,"")</f>
        <v/>
      </c>
      <c r="FO17" t="str">
        <f>IF(AND(23&lt;&gt;32,Anmeldung!$D$30&lt;&gt;"",Anmeldung!$G$30=Anmeldung!$G$39,Anmeldung!$J$30=Anmeldung!$J$39,(Anmeldung!$B$30&amp;": "&amp;Anmeldung!$D$30&amp;", "&amp;Anmeldung!$E$30&amp;" / "&amp;Anmeldung!$G$30&amp;" / "&amp;Anmeldung!$J$30)&lt;&gt;Anmeldung!$O$39),Anmeldung!$B$30&amp;": "&amp;Anmeldung!$D$30&amp;", "&amp;Anmeldung!$E$30&amp;" / "&amp;Anmeldung!$G$30&amp;" / "&amp;Anmeldung!$J$30,"")</f>
        <v/>
      </c>
      <c r="FP17" t="str">
        <f>IF(AND(23&lt;&gt;32,Anmeldung!$D$30&lt;&gt;"",Anmeldung!$G$30&lt;&gt;Anmeldung!$G$39,(Anmeldung!$B$30&amp;": "&amp;Anmeldung!$D$30&amp;", "&amp;Anmeldung!$E$30&amp;" / "&amp;Anmeldung!$G$30&amp;" / "&amp;Anmeldung!$J$30)&lt;&gt;Anmeldung!$S$39),Anmeldung!$B$30&amp;": "&amp;Anmeldung!$D$30&amp;", "&amp;Anmeldung!$E$30&amp;" / "&amp;Anmeldung!$G$30&amp;" / "&amp;Anmeldung!$J$30,"")</f>
        <v/>
      </c>
      <c r="FQ17" t="str">
        <f>IF(AND(23&lt;&gt;32,Anmeldung!$D$30&lt;&gt;"",(Anmeldung!$B$30&amp;": "&amp;Anmeldung!$D$30&amp;", "&amp;Anmeldung!$E$30&amp;" / "&amp;Anmeldung!$G$30&amp;" / "&amp;Anmeldung!$J$30)&lt;&gt;Anmeldung!$R$39),Anmeldung!$B$30&amp;": "&amp;Anmeldung!$D$30&amp;", "&amp;Anmeldung!$E$30&amp;" / "&amp;Anmeldung!$G$30&amp;" / "&amp;Anmeldung!$J$30,"")</f>
        <v/>
      </c>
      <c r="FR17" t="str">
        <f>IF(AND(22&lt;&gt;31,Anmeldung!$D$30&lt;&gt;"",Anmeldung!$U$30="Ja",Anmeldung!$G$30=Anmeldung!$G$39,Anmeldung!$J$30=Anmeldung!$J$39),Anmeldung!$B$30&amp;": "&amp;Anmeldung!$D$30&amp;", "&amp;Anmeldung!$E$30&amp;" / "&amp;Anmeldung!$G$30&amp;" / "&amp;Anmeldung!$J$30,"")</f>
        <v/>
      </c>
      <c r="FU17" t="str">
        <f>IF(AND(23&lt;&gt;33,Anmeldung!$D$30&lt;&gt;"",Anmeldung!$G$30=Anmeldung!$G$40,Anmeldung!$J$30=Anmeldung!$J$40),Anmeldung!$B$30&amp;": "&amp;Anmeldung!$D$30&amp;", "&amp;Anmeldung!$E$30&amp;" / "&amp;Anmeldung!$G$30&amp;" / "&amp;Anmeldung!$J$30,"")</f>
        <v/>
      </c>
      <c r="FV17" t="str">
        <f>IF(AND(23&lt;&gt;33,Anmeldung!$D$30&lt;&gt;"",Anmeldung!$G$30=Anmeldung!$G$40,Anmeldung!$J$30=Anmeldung!$J$40,(Anmeldung!$B$30&amp;": "&amp;Anmeldung!$D$30&amp;", "&amp;Anmeldung!$E$30&amp;" / "&amp;Anmeldung!$G$30&amp;" / "&amp;Anmeldung!$J$30)&lt;&gt;Anmeldung!$P$40),Anmeldung!$B$30&amp;": "&amp;Anmeldung!$D$30&amp;", "&amp;Anmeldung!$E$30&amp;" / "&amp;Anmeldung!$G$30&amp;" / "&amp;Anmeldung!$J$30,"")</f>
        <v/>
      </c>
      <c r="FW17" t="str">
        <f>IF(AND(23&lt;&gt;33,Anmeldung!$D$30&lt;&gt;"",Anmeldung!$G$30=Anmeldung!$G$40,Anmeldung!$J$30=Anmeldung!$J$40,(Anmeldung!$B$30&amp;": "&amp;Anmeldung!$D$30&amp;", "&amp;Anmeldung!$E$30&amp;" / "&amp;Anmeldung!$G$30&amp;" / "&amp;Anmeldung!$J$30)&lt;&gt;Anmeldung!$O$40),Anmeldung!$B$30&amp;": "&amp;Anmeldung!$D$30&amp;", "&amp;Anmeldung!$E$30&amp;" / "&amp;Anmeldung!$G$30&amp;" / "&amp;Anmeldung!$J$30,"")</f>
        <v/>
      </c>
      <c r="FX17" t="str">
        <f>IF(AND(23&lt;&gt;33,Anmeldung!$D$30&lt;&gt;"",Anmeldung!$G$30&lt;&gt;Anmeldung!$G$40,(Anmeldung!$B$30&amp;": "&amp;Anmeldung!$D$30&amp;", "&amp;Anmeldung!$E$30&amp;" / "&amp;Anmeldung!$G$30&amp;" / "&amp;Anmeldung!$J$30)&lt;&gt;Anmeldung!$S$40),Anmeldung!$B$30&amp;": "&amp;Anmeldung!$D$30&amp;", "&amp;Anmeldung!$E$30&amp;" / "&amp;Anmeldung!$G$30&amp;" / "&amp;Anmeldung!$J$30,"")</f>
        <v/>
      </c>
      <c r="FY17" t="str">
        <f>IF(AND(23&lt;&gt;33,Anmeldung!$D$30&lt;&gt;"",(Anmeldung!$B$30&amp;": "&amp;Anmeldung!$D$30&amp;", "&amp;Anmeldung!$E$30&amp;" / "&amp;Anmeldung!$G$30&amp;" / "&amp;Anmeldung!$J$30)&lt;&gt;Anmeldung!$R$40),Anmeldung!$B$30&amp;": "&amp;Anmeldung!$D$30&amp;", "&amp;Anmeldung!$E$30&amp;" / "&amp;Anmeldung!$G$30&amp;" / "&amp;Anmeldung!$J$30,"")</f>
        <v/>
      </c>
      <c r="FZ17" t="str">
        <f>IF(AND(22&lt;&gt;32,Anmeldung!$D$30&lt;&gt;"",Anmeldung!$U$30="Ja",Anmeldung!$G$30=Anmeldung!$G$40,Anmeldung!$J$30=Anmeldung!$J$40),Anmeldung!$B$30&amp;": "&amp;Anmeldung!$D$30&amp;", "&amp;Anmeldung!$E$30&amp;" / "&amp;Anmeldung!$G$30&amp;" / "&amp;Anmeldung!$J$30,"")</f>
        <v/>
      </c>
      <c r="GC17" t="str">
        <f>IF(AND(23&lt;&gt;34,Anmeldung!$D$30&lt;&gt;"",Anmeldung!$G$30=Anmeldung!$G$41,Anmeldung!$J$30=Anmeldung!$J$41),Anmeldung!$B$30&amp;": "&amp;Anmeldung!$D$30&amp;", "&amp;Anmeldung!$E$30&amp;" / "&amp;Anmeldung!$G$30&amp;" / "&amp;Anmeldung!$J$30,"")</f>
        <v/>
      </c>
      <c r="GD17" t="str">
        <f>IF(AND(23&lt;&gt;34,Anmeldung!$D$30&lt;&gt;"",Anmeldung!$G$30=Anmeldung!$G$41,Anmeldung!$J$30=Anmeldung!$J$41,(Anmeldung!$B$30&amp;": "&amp;Anmeldung!$D$30&amp;", "&amp;Anmeldung!$E$30&amp;" / "&amp;Anmeldung!$G$30&amp;" / "&amp;Anmeldung!$J$30)&lt;&gt;Anmeldung!$P$41),Anmeldung!$B$30&amp;": "&amp;Anmeldung!$D$30&amp;", "&amp;Anmeldung!$E$30&amp;" / "&amp;Anmeldung!$G$30&amp;" / "&amp;Anmeldung!$J$30,"")</f>
        <v/>
      </c>
      <c r="GE17" t="str">
        <f>IF(AND(23&lt;&gt;34,Anmeldung!$D$30&lt;&gt;"",Anmeldung!$G$30=Anmeldung!$G$41,Anmeldung!$J$30=Anmeldung!$J$41,(Anmeldung!$B$30&amp;": "&amp;Anmeldung!$D$30&amp;", "&amp;Anmeldung!$E$30&amp;" / "&amp;Anmeldung!$G$30&amp;" / "&amp;Anmeldung!$J$30)&lt;&gt;Anmeldung!$O$41),Anmeldung!$B$30&amp;": "&amp;Anmeldung!$D$30&amp;", "&amp;Anmeldung!$E$30&amp;" / "&amp;Anmeldung!$G$30&amp;" / "&amp;Anmeldung!$J$30,"")</f>
        <v/>
      </c>
      <c r="GF17" t="str">
        <f>IF(AND(23&lt;&gt;34,Anmeldung!$D$30&lt;&gt;"",Anmeldung!$G$30&lt;&gt;Anmeldung!$G$41,(Anmeldung!$B$30&amp;": "&amp;Anmeldung!$D$30&amp;", "&amp;Anmeldung!$E$30&amp;" / "&amp;Anmeldung!$G$30&amp;" / "&amp;Anmeldung!$J$30)&lt;&gt;Anmeldung!$S$41),Anmeldung!$B$30&amp;": "&amp;Anmeldung!$D$30&amp;", "&amp;Anmeldung!$E$30&amp;" / "&amp;Anmeldung!$G$30&amp;" / "&amp;Anmeldung!$J$30,"")</f>
        <v/>
      </c>
      <c r="GG17" t="str">
        <f>IF(AND(23&lt;&gt;34,Anmeldung!$D$30&lt;&gt;"",(Anmeldung!$B$30&amp;": "&amp;Anmeldung!$D$30&amp;", "&amp;Anmeldung!$E$30&amp;" / "&amp;Anmeldung!$G$30&amp;" / "&amp;Anmeldung!$J$30)&lt;&gt;Anmeldung!$R$41),Anmeldung!$B$30&amp;": "&amp;Anmeldung!$D$30&amp;", "&amp;Anmeldung!$E$30&amp;" / "&amp;Anmeldung!$G$30&amp;" / "&amp;Anmeldung!$J$30,"")</f>
        <v/>
      </c>
      <c r="GH17" t="str">
        <f>IF(AND(22&lt;&gt;33,Anmeldung!$D$30&lt;&gt;"",Anmeldung!$U$30="Ja",Anmeldung!$G$30=Anmeldung!$G$41,Anmeldung!$J$30=Anmeldung!$J$41),Anmeldung!$B$30&amp;": "&amp;Anmeldung!$D$30&amp;", "&amp;Anmeldung!$E$30&amp;" / "&amp;Anmeldung!$G$30&amp;" / "&amp;Anmeldung!$J$30,"")</f>
        <v/>
      </c>
      <c r="GK17" t="str">
        <f>IF(AND(23&lt;&gt;35,Anmeldung!$D$30&lt;&gt;"",Anmeldung!$G$30=Anmeldung!$G$42,Anmeldung!$J$30=Anmeldung!$J$42),Anmeldung!$B$30&amp;": "&amp;Anmeldung!$D$30&amp;", "&amp;Anmeldung!$E$30&amp;" / "&amp;Anmeldung!$G$30&amp;" / "&amp;Anmeldung!$J$30,"")</f>
        <v/>
      </c>
      <c r="GL17" t="str">
        <f>IF(AND(23&lt;&gt;35,Anmeldung!$D$30&lt;&gt;"",Anmeldung!$G$30=Anmeldung!$G$42,Anmeldung!$J$30=Anmeldung!$J$42,(Anmeldung!$B$30&amp;": "&amp;Anmeldung!$D$30&amp;", "&amp;Anmeldung!$E$30&amp;" / "&amp;Anmeldung!$G$30&amp;" / "&amp;Anmeldung!$J$30)&lt;&gt;Anmeldung!$P$42),Anmeldung!$B$30&amp;": "&amp;Anmeldung!$D$30&amp;", "&amp;Anmeldung!$E$30&amp;" / "&amp;Anmeldung!$G$30&amp;" / "&amp;Anmeldung!$J$30,"")</f>
        <v/>
      </c>
      <c r="GM17" t="str">
        <f>IF(AND(23&lt;&gt;35,Anmeldung!$D$30&lt;&gt;"",Anmeldung!$G$30=Anmeldung!$G$42,Anmeldung!$J$30=Anmeldung!$J$42,(Anmeldung!$B$30&amp;": "&amp;Anmeldung!$D$30&amp;", "&amp;Anmeldung!$E$30&amp;" / "&amp;Anmeldung!$G$30&amp;" / "&amp;Anmeldung!$J$30)&lt;&gt;Anmeldung!$O$42),Anmeldung!$B$30&amp;": "&amp;Anmeldung!$D$30&amp;", "&amp;Anmeldung!$E$30&amp;" / "&amp;Anmeldung!$G$30&amp;" / "&amp;Anmeldung!$J$30,"")</f>
        <v/>
      </c>
      <c r="GN17" t="str">
        <f>IF(AND(23&lt;&gt;35,Anmeldung!$D$30&lt;&gt;"",Anmeldung!$G$30&lt;&gt;Anmeldung!$G$42,(Anmeldung!$B$30&amp;": "&amp;Anmeldung!$D$30&amp;", "&amp;Anmeldung!$E$30&amp;" / "&amp;Anmeldung!$G$30&amp;" / "&amp;Anmeldung!$J$30)&lt;&gt;Anmeldung!$S$42),Anmeldung!$B$30&amp;": "&amp;Anmeldung!$D$30&amp;", "&amp;Anmeldung!$E$30&amp;" / "&amp;Anmeldung!$G$30&amp;" / "&amp;Anmeldung!$J$30,"")</f>
        <v/>
      </c>
      <c r="GO17" t="str">
        <f>IF(AND(23&lt;&gt;35,Anmeldung!$D$30&lt;&gt;"",(Anmeldung!$B$30&amp;": "&amp;Anmeldung!$D$30&amp;", "&amp;Anmeldung!$E$30&amp;" / "&amp;Anmeldung!$G$30&amp;" / "&amp;Anmeldung!$J$30)&lt;&gt;Anmeldung!$R$42),Anmeldung!$B$30&amp;": "&amp;Anmeldung!$D$30&amp;", "&amp;Anmeldung!$E$30&amp;" / "&amp;Anmeldung!$G$30&amp;" / "&amp;Anmeldung!$J$30,"")</f>
        <v/>
      </c>
      <c r="GP17" t="str">
        <f>IF(AND(22&lt;&gt;34,Anmeldung!$D$30&lt;&gt;"",Anmeldung!$U$30="Ja",Anmeldung!$G$30=Anmeldung!$G$42,Anmeldung!$J$30=Anmeldung!$J$42),Anmeldung!$B$30&amp;": "&amp;Anmeldung!$D$30&amp;", "&amp;Anmeldung!$E$30&amp;" / "&amp;Anmeldung!$G$30&amp;" / "&amp;Anmeldung!$J$30,"")</f>
        <v/>
      </c>
      <c r="GS17" t="str">
        <f>IF(AND(23&lt;&gt;36,Anmeldung!$D$30&lt;&gt;"",Anmeldung!$G$30=Anmeldung!$G$43,Anmeldung!$J$30=Anmeldung!$J$43),Anmeldung!$B$30&amp;": "&amp;Anmeldung!$D$30&amp;", "&amp;Anmeldung!$E$30&amp;" / "&amp;Anmeldung!$G$30&amp;" / "&amp;Anmeldung!$J$30,"")</f>
        <v/>
      </c>
      <c r="GT17" t="str">
        <f>IF(AND(23&lt;&gt;36,Anmeldung!$D$30&lt;&gt;"",Anmeldung!$G$30=Anmeldung!$G$43,Anmeldung!$J$30=Anmeldung!$J$43,(Anmeldung!$B$30&amp;": "&amp;Anmeldung!$D$30&amp;", "&amp;Anmeldung!$E$30&amp;" / "&amp;Anmeldung!$G$30&amp;" / "&amp;Anmeldung!$J$30)&lt;&gt;Anmeldung!$P$43),Anmeldung!$B$30&amp;": "&amp;Anmeldung!$D$30&amp;", "&amp;Anmeldung!$E$30&amp;" / "&amp;Anmeldung!$G$30&amp;" / "&amp;Anmeldung!$J$30,"")</f>
        <v/>
      </c>
      <c r="GU17" t="str">
        <f>IF(AND(23&lt;&gt;36,Anmeldung!$D$30&lt;&gt;"",Anmeldung!$G$30=Anmeldung!$G$43,Anmeldung!$J$30=Anmeldung!$J$43,(Anmeldung!$B$30&amp;": "&amp;Anmeldung!$D$30&amp;", "&amp;Anmeldung!$E$30&amp;" / "&amp;Anmeldung!$G$30&amp;" / "&amp;Anmeldung!$J$30)&lt;&gt;Anmeldung!$O$43),Anmeldung!$B$30&amp;": "&amp;Anmeldung!$D$30&amp;", "&amp;Anmeldung!$E$30&amp;" / "&amp;Anmeldung!$G$30&amp;" / "&amp;Anmeldung!$J$30,"")</f>
        <v/>
      </c>
      <c r="GV17" t="str">
        <f>IF(AND(23&lt;&gt;36,Anmeldung!$D$30&lt;&gt;"",Anmeldung!$G$30&lt;&gt;Anmeldung!$G$43,(Anmeldung!$B$30&amp;": "&amp;Anmeldung!$D$30&amp;", "&amp;Anmeldung!$E$30&amp;" / "&amp;Anmeldung!$G$30&amp;" / "&amp;Anmeldung!$J$30)&lt;&gt;Anmeldung!$S$43),Anmeldung!$B$30&amp;": "&amp;Anmeldung!$D$30&amp;", "&amp;Anmeldung!$E$30&amp;" / "&amp;Anmeldung!$G$30&amp;" / "&amp;Anmeldung!$J$30,"")</f>
        <v/>
      </c>
      <c r="GW17" t="str">
        <f>IF(AND(23&lt;&gt;36,Anmeldung!$D$30&lt;&gt;"",(Anmeldung!$B$30&amp;": "&amp;Anmeldung!$D$30&amp;", "&amp;Anmeldung!$E$30&amp;" / "&amp;Anmeldung!$G$30&amp;" / "&amp;Anmeldung!$J$30)&lt;&gt;Anmeldung!$R$43),Anmeldung!$B$30&amp;": "&amp;Anmeldung!$D$30&amp;", "&amp;Anmeldung!$E$30&amp;" / "&amp;Anmeldung!$G$30&amp;" / "&amp;Anmeldung!$J$30,"")</f>
        <v/>
      </c>
      <c r="GX17" t="str">
        <f>IF(AND(22&lt;&gt;35,Anmeldung!$D$30&lt;&gt;"",Anmeldung!$U$30="Ja",Anmeldung!$G$30=Anmeldung!$G$43,Anmeldung!$J$30=Anmeldung!$J$43),Anmeldung!$B$30&amp;": "&amp;Anmeldung!$D$30&amp;", "&amp;Anmeldung!$E$30&amp;" / "&amp;Anmeldung!$G$30&amp;" / "&amp;Anmeldung!$J$30,"")</f>
        <v/>
      </c>
      <c r="HA17" t="str">
        <f>IF(AND(23&lt;&gt;37,Anmeldung!$D$30&lt;&gt;"",Anmeldung!$G$30=Anmeldung!$G$44,Anmeldung!$J$30=Anmeldung!$J$44),Anmeldung!$B$30&amp;": "&amp;Anmeldung!$D$30&amp;", "&amp;Anmeldung!$E$30&amp;" / "&amp;Anmeldung!$G$30&amp;" / "&amp;Anmeldung!$J$30,"")</f>
        <v/>
      </c>
      <c r="HB17" t="str">
        <f>IF(AND(23&lt;&gt;37,Anmeldung!$D$30&lt;&gt;"",Anmeldung!$G$30=Anmeldung!$G$44,Anmeldung!$J$30=Anmeldung!$J$44,(Anmeldung!$B$30&amp;": "&amp;Anmeldung!$D$30&amp;", "&amp;Anmeldung!$E$30&amp;" / "&amp;Anmeldung!$G$30&amp;" / "&amp;Anmeldung!$J$30)&lt;&gt;Anmeldung!$P$44),Anmeldung!$B$30&amp;": "&amp;Anmeldung!$D$30&amp;", "&amp;Anmeldung!$E$30&amp;" / "&amp;Anmeldung!$G$30&amp;" / "&amp;Anmeldung!$J$30,"")</f>
        <v/>
      </c>
      <c r="HC17" t="str">
        <f>IF(AND(23&lt;&gt;37,Anmeldung!$D$30&lt;&gt;"",Anmeldung!$G$30=Anmeldung!$G$44,Anmeldung!$J$30=Anmeldung!$J$44,(Anmeldung!$B$30&amp;": "&amp;Anmeldung!$D$30&amp;", "&amp;Anmeldung!$E$30&amp;" / "&amp;Anmeldung!$G$30&amp;" / "&amp;Anmeldung!$J$30)&lt;&gt;Anmeldung!$O$44),Anmeldung!$B$30&amp;": "&amp;Anmeldung!$D$30&amp;", "&amp;Anmeldung!$E$30&amp;" / "&amp;Anmeldung!$G$30&amp;" / "&amp;Anmeldung!$J$30,"")</f>
        <v/>
      </c>
      <c r="HD17" t="str">
        <f>IF(AND(23&lt;&gt;37,Anmeldung!$D$30&lt;&gt;"",Anmeldung!$G$30&lt;&gt;Anmeldung!$G$44,(Anmeldung!$B$30&amp;": "&amp;Anmeldung!$D$30&amp;", "&amp;Anmeldung!$E$30&amp;" / "&amp;Anmeldung!$G$30&amp;" / "&amp;Anmeldung!$J$30)&lt;&gt;Anmeldung!$S$44),Anmeldung!$B$30&amp;": "&amp;Anmeldung!$D$30&amp;", "&amp;Anmeldung!$E$30&amp;" / "&amp;Anmeldung!$G$30&amp;" / "&amp;Anmeldung!$J$30,"")</f>
        <v/>
      </c>
      <c r="HE17" t="str">
        <f>IF(AND(23&lt;&gt;37,Anmeldung!$D$30&lt;&gt;"",(Anmeldung!$B$30&amp;": "&amp;Anmeldung!$D$30&amp;", "&amp;Anmeldung!$E$30&amp;" / "&amp;Anmeldung!$G$30&amp;" / "&amp;Anmeldung!$J$30)&lt;&gt;Anmeldung!$R$44),Anmeldung!$B$30&amp;": "&amp;Anmeldung!$D$30&amp;", "&amp;Anmeldung!$E$30&amp;" / "&amp;Anmeldung!$G$30&amp;" / "&amp;Anmeldung!$J$30,"")</f>
        <v/>
      </c>
      <c r="HF17" t="str">
        <f>IF(AND(22&lt;&gt;36,Anmeldung!$D$30&lt;&gt;"",Anmeldung!$U$30="Ja",Anmeldung!$G$30=Anmeldung!$G$44,Anmeldung!$J$30=Anmeldung!$J$44),Anmeldung!$B$30&amp;": "&amp;Anmeldung!$D$30&amp;", "&amp;Anmeldung!$E$30&amp;" / "&amp;Anmeldung!$G$30&amp;" / "&amp;Anmeldung!$J$30,"")</f>
        <v/>
      </c>
      <c r="HI17" t="str">
        <f>IF(AND(23&lt;&gt;38,Anmeldung!$D$30&lt;&gt;"",Anmeldung!$G$30=Anmeldung!$G$45,Anmeldung!$J$30=Anmeldung!$J$45),Anmeldung!$B$30&amp;": "&amp;Anmeldung!$D$30&amp;", "&amp;Anmeldung!$E$30&amp;" / "&amp;Anmeldung!$G$30&amp;" / "&amp;Anmeldung!$J$30,"")</f>
        <v/>
      </c>
      <c r="HJ17" t="str">
        <f>IF(AND(23&lt;&gt;38,Anmeldung!$D$30&lt;&gt;"",Anmeldung!$G$30=Anmeldung!$G$45,Anmeldung!$J$30=Anmeldung!$J$45,(Anmeldung!$B$30&amp;": "&amp;Anmeldung!$D$30&amp;", "&amp;Anmeldung!$E$30&amp;" / "&amp;Anmeldung!$G$30&amp;" / "&amp;Anmeldung!$J$30)&lt;&gt;Anmeldung!$P$45),Anmeldung!$B$30&amp;": "&amp;Anmeldung!$D$30&amp;", "&amp;Anmeldung!$E$30&amp;" / "&amp;Anmeldung!$G$30&amp;" / "&amp;Anmeldung!$J$30,"")</f>
        <v/>
      </c>
      <c r="HK17" t="str">
        <f>IF(AND(23&lt;&gt;38,Anmeldung!$D$30&lt;&gt;"",Anmeldung!$G$30=Anmeldung!$G$45,Anmeldung!$J$30=Anmeldung!$J$45,(Anmeldung!$B$30&amp;": "&amp;Anmeldung!$D$30&amp;", "&amp;Anmeldung!$E$30&amp;" / "&amp;Anmeldung!$G$30&amp;" / "&amp;Anmeldung!$J$30)&lt;&gt;Anmeldung!$O$45),Anmeldung!$B$30&amp;": "&amp;Anmeldung!$D$30&amp;", "&amp;Anmeldung!$E$30&amp;" / "&amp;Anmeldung!$G$30&amp;" / "&amp;Anmeldung!$J$30,"")</f>
        <v/>
      </c>
      <c r="HL17" t="str">
        <f>IF(AND(23&lt;&gt;38,Anmeldung!$D$30&lt;&gt;"",Anmeldung!$G$30&lt;&gt;Anmeldung!$G$45,(Anmeldung!$B$30&amp;": "&amp;Anmeldung!$D$30&amp;", "&amp;Anmeldung!$E$30&amp;" / "&amp;Anmeldung!$G$30&amp;" / "&amp;Anmeldung!$J$30)&lt;&gt;Anmeldung!$S$45),Anmeldung!$B$30&amp;": "&amp;Anmeldung!$D$30&amp;", "&amp;Anmeldung!$E$30&amp;" / "&amp;Anmeldung!$G$30&amp;" / "&amp;Anmeldung!$J$30,"")</f>
        <v/>
      </c>
      <c r="HM17" t="str">
        <f>IF(AND(23&lt;&gt;38,Anmeldung!$D$30&lt;&gt;"",(Anmeldung!$B$30&amp;": "&amp;Anmeldung!$D$30&amp;", "&amp;Anmeldung!$E$30&amp;" / "&amp;Anmeldung!$G$30&amp;" / "&amp;Anmeldung!$J$30)&lt;&gt;Anmeldung!$R$45),Anmeldung!$B$30&amp;": "&amp;Anmeldung!$D$30&amp;", "&amp;Anmeldung!$E$30&amp;" / "&amp;Anmeldung!$G$30&amp;" / "&amp;Anmeldung!$J$30,"")</f>
        <v/>
      </c>
      <c r="HN17" t="str">
        <f>IF(AND(22&lt;&gt;37,Anmeldung!$D$30&lt;&gt;"",Anmeldung!$U$30="Ja",Anmeldung!$G$30=Anmeldung!$G$45,Anmeldung!$J$30=Anmeldung!$J$45),Anmeldung!$B$30&amp;": "&amp;Anmeldung!$D$30&amp;", "&amp;Anmeldung!$E$30&amp;" / "&amp;Anmeldung!$G$30&amp;" / "&amp;Anmeldung!$J$30,"")</f>
        <v/>
      </c>
      <c r="HQ17" t="str">
        <f>IF(AND(23&lt;&gt;39,Anmeldung!$D$30&lt;&gt;"",Anmeldung!$G$30=Anmeldung!$G$46,Anmeldung!$J$30=Anmeldung!$J$46),Anmeldung!$B$30&amp;": "&amp;Anmeldung!$D$30&amp;", "&amp;Anmeldung!$E$30&amp;" / "&amp;Anmeldung!$G$30&amp;" / "&amp;Anmeldung!$J$30,"")</f>
        <v/>
      </c>
      <c r="HR17" t="str">
        <f>IF(AND(23&lt;&gt;39,Anmeldung!$D$30&lt;&gt;"",Anmeldung!$G$30=Anmeldung!$G$46,Anmeldung!$J$30=Anmeldung!$J$46,(Anmeldung!$B$30&amp;": "&amp;Anmeldung!$D$30&amp;", "&amp;Anmeldung!$E$30&amp;" / "&amp;Anmeldung!$G$30&amp;" / "&amp;Anmeldung!$J$30)&lt;&gt;Anmeldung!$P$46),Anmeldung!$B$30&amp;": "&amp;Anmeldung!$D$30&amp;", "&amp;Anmeldung!$E$30&amp;" / "&amp;Anmeldung!$G$30&amp;" / "&amp;Anmeldung!$J$30,"")</f>
        <v/>
      </c>
      <c r="HS17" t="str">
        <f>IF(AND(23&lt;&gt;39,Anmeldung!$D$30&lt;&gt;"",Anmeldung!$G$30=Anmeldung!$G$46,Anmeldung!$J$30=Anmeldung!$J$46,(Anmeldung!$B$30&amp;": "&amp;Anmeldung!$D$30&amp;", "&amp;Anmeldung!$E$30&amp;" / "&amp;Anmeldung!$G$30&amp;" / "&amp;Anmeldung!$J$30)&lt;&gt;Anmeldung!$O$46),Anmeldung!$B$30&amp;": "&amp;Anmeldung!$D$30&amp;", "&amp;Anmeldung!$E$30&amp;" / "&amp;Anmeldung!$G$30&amp;" / "&amp;Anmeldung!$J$30,"")</f>
        <v/>
      </c>
      <c r="HT17" t="str">
        <f>IF(AND(23&lt;&gt;39,Anmeldung!$D$30&lt;&gt;"",Anmeldung!$G$30&lt;&gt;Anmeldung!$G$46,(Anmeldung!$B$30&amp;": "&amp;Anmeldung!$D$30&amp;", "&amp;Anmeldung!$E$30&amp;" / "&amp;Anmeldung!$G$30&amp;" / "&amp;Anmeldung!$J$30)&lt;&gt;Anmeldung!$S$46),Anmeldung!$B$30&amp;": "&amp;Anmeldung!$D$30&amp;", "&amp;Anmeldung!$E$30&amp;" / "&amp;Anmeldung!$G$30&amp;" / "&amp;Anmeldung!$J$30,"")</f>
        <v/>
      </c>
      <c r="HU17" t="str">
        <f>IF(AND(23&lt;&gt;39,Anmeldung!$D$30&lt;&gt;"",(Anmeldung!$B$30&amp;": "&amp;Anmeldung!$D$30&amp;", "&amp;Anmeldung!$E$30&amp;" / "&amp;Anmeldung!$G$30&amp;" / "&amp;Anmeldung!$J$30)&lt;&gt;Anmeldung!$R$46),Anmeldung!$B$30&amp;": "&amp;Anmeldung!$D$30&amp;", "&amp;Anmeldung!$E$30&amp;" / "&amp;Anmeldung!$G$30&amp;" / "&amp;Anmeldung!$J$30,"")</f>
        <v/>
      </c>
      <c r="HV17" t="str">
        <f>IF(AND(22&lt;&gt;38,Anmeldung!$D$30&lt;&gt;"",Anmeldung!$U$30="Ja",Anmeldung!$G$30=Anmeldung!$G$46,Anmeldung!$J$30=Anmeldung!$J$46),Anmeldung!$B$30&amp;": "&amp;Anmeldung!$D$30&amp;", "&amp;Anmeldung!$E$30&amp;" / "&amp;Anmeldung!$G$30&amp;" / "&amp;Anmeldung!$J$30,"")</f>
        <v/>
      </c>
      <c r="HY17" t="str">
        <f>IF(AND(23&lt;&gt;40,Anmeldung!$D$30&lt;&gt;"",Anmeldung!$G$30=Anmeldung!$G$47,Anmeldung!$J$30=Anmeldung!$J$47),Anmeldung!$B$30&amp;": "&amp;Anmeldung!$D$30&amp;", "&amp;Anmeldung!$E$30&amp;" / "&amp;Anmeldung!$G$30&amp;" / "&amp;Anmeldung!$J$30,"")</f>
        <v/>
      </c>
      <c r="HZ17" t="str">
        <f>IF(AND(23&lt;&gt;40,Anmeldung!$D$30&lt;&gt;"",Anmeldung!$G$30=Anmeldung!$G$47,Anmeldung!$J$30=Anmeldung!$J$47,(Anmeldung!$B$30&amp;": "&amp;Anmeldung!$D$30&amp;", "&amp;Anmeldung!$E$30&amp;" / "&amp;Anmeldung!$G$30&amp;" / "&amp;Anmeldung!$J$30)&lt;&gt;Anmeldung!$P$47),Anmeldung!$B$30&amp;": "&amp;Anmeldung!$D$30&amp;", "&amp;Anmeldung!$E$30&amp;" / "&amp;Anmeldung!$G$30&amp;" / "&amp;Anmeldung!$J$30,"")</f>
        <v/>
      </c>
      <c r="IA17" t="str">
        <f>IF(AND(23&lt;&gt;40,Anmeldung!$D$30&lt;&gt;"",Anmeldung!$G$30=Anmeldung!$G$47,Anmeldung!$J$30=Anmeldung!$J$47,(Anmeldung!$B$30&amp;": "&amp;Anmeldung!$D$30&amp;", "&amp;Anmeldung!$E$30&amp;" / "&amp;Anmeldung!$G$30&amp;" / "&amp;Anmeldung!$J$30)&lt;&gt;Anmeldung!$O$47),Anmeldung!$B$30&amp;": "&amp;Anmeldung!$D$30&amp;", "&amp;Anmeldung!$E$30&amp;" / "&amp;Anmeldung!$G$30&amp;" / "&amp;Anmeldung!$J$30,"")</f>
        <v/>
      </c>
      <c r="IB17" t="str">
        <f>IF(AND(23&lt;&gt;40,Anmeldung!$D$30&lt;&gt;"",Anmeldung!$G$30&lt;&gt;Anmeldung!$G$47,(Anmeldung!$B$30&amp;": "&amp;Anmeldung!$D$30&amp;", "&amp;Anmeldung!$E$30&amp;" / "&amp;Anmeldung!$G$30&amp;" / "&amp;Anmeldung!$J$30)&lt;&gt;Anmeldung!$S$47),Anmeldung!$B$30&amp;": "&amp;Anmeldung!$D$30&amp;", "&amp;Anmeldung!$E$30&amp;" / "&amp;Anmeldung!$G$30&amp;" / "&amp;Anmeldung!$J$30,"")</f>
        <v/>
      </c>
      <c r="IC17" t="str">
        <f>IF(AND(23&lt;&gt;40,Anmeldung!$D$30&lt;&gt;"",(Anmeldung!$B$30&amp;": "&amp;Anmeldung!$D$30&amp;", "&amp;Anmeldung!$E$30&amp;" / "&amp;Anmeldung!$G$30&amp;" / "&amp;Anmeldung!$J$30)&lt;&gt;Anmeldung!$R$47),Anmeldung!$B$30&amp;": "&amp;Anmeldung!$D$30&amp;", "&amp;Anmeldung!$E$30&amp;" / "&amp;Anmeldung!$G$30&amp;" / "&amp;Anmeldung!$J$30,"")</f>
        <v/>
      </c>
      <c r="ID17" t="str">
        <f>IF(AND(22&lt;&gt;39,Anmeldung!$D$30&lt;&gt;"",Anmeldung!$U$30="Ja",Anmeldung!$G$30=Anmeldung!$G$47,Anmeldung!$J$30=Anmeldung!$J$47),Anmeldung!$B$30&amp;": "&amp;Anmeldung!$D$30&amp;", "&amp;Anmeldung!$E$30&amp;" / "&amp;Anmeldung!$G$30&amp;" / "&amp;Anmeldung!$J$30,"")</f>
        <v/>
      </c>
    </row>
    <row r="18" spans="1:238" ht="14.25" customHeight="1" x14ac:dyDescent="0.3">
      <c r="A18" t="str">
        <f>IF(AND(24&lt;&gt;11,Anmeldung!$D$31&lt;&gt;"",Anmeldung!$G$31=Anmeldung!$G$18,Anmeldung!$J$31=Anmeldung!$J$18),Anmeldung!$B$31&amp;": "&amp;Anmeldung!$D$31&amp;", "&amp;Anmeldung!$E$31&amp;" / "&amp;Anmeldung!$G$31&amp;" / "&amp;Anmeldung!$J$31,"")</f>
        <v/>
      </c>
      <c r="B18" t="str">
        <f>IF(AND(24&lt;&gt;11,Anmeldung!$D$31&lt;&gt;"",Anmeldung!$G$31=Anmeldung!$G$18,Anmeldung!$J$31=Anmeldung!$J$18,(Anmeldung!$B$31&amp;": "&amp;Anmeldung!$D$31&amp;", "&amp;Anmeldung!$E$31&amp;" / "&amp;Anmeldung!$G$31&amp;" / "&amp;Anmeldung!$J$31)&lt;&gt;Anmeldung!$P$18),Anmeldung!$B$31&amp;": "&amp;Anmeldung!$D$31&amp;", "&amp;Anmeldung!$E$31&amp;" / "&amp;Anmeldung!$G$31&amp;" / "&amp;Anmeldung!$J$31,"")</f>
        <v/>
      </c>
      <c r="C18" t="str">
        <f>IF(AND(24&lt;&gt;11,Anmeldung!$D$31&lt;&gt;"",Anmeldung!$G$31=Anmeldung!$G$18,Anmeldung!$J$31=Anmeldung!$J$18,(Anmeldung!$B$31&amp;": "&amp;Anmeldung!$D$31&amp;", "&amp;Anmeldung!$E$31&amp;" / "&amp;Anmeldung!$G$31&amp;" / "&amp;Anmeldung!$J$31)&lt;&gt;Anmeldung!$O$18),Anmeldung!$B$31&amp;": "&amp;Anmeldung!$D$31&amp;", "&amp;Anmeldung!$E$31&amp;" / "&amp;Anmeldung!$G$31&amp;" / "&amp;Anmeldung!$J$31,"")</f>
        <v/>
      </c>
      <c r="D18" t="str">
        <f>IF(AND(24&lt;&gt;11,Anmeldung!$D$31&lt;&gt;"",Anmeldung!$G$31&lt;&gt;Anmeldung!$G$18,(Anmeldung!$B$31&amp;": "&amp;Anmeldung!$D$31&amp;", "&amp;Anmeldung!$E$31&amp;" / "&amp;Anmeldung!$G$31&amp;" / "&amp;Anmeldung!$J$31)&lt;&gt;Anmeldung!$S$18),Anmeldung!$B$31&amp;": "&amp;Anmeldung!$D$31&amp;", "&amp;Anmeldung!$E$31&amp;" / "&amp;Anmeldung!$G$31&amp;" / "&amp;Anmeldung!$J$31,"")</f>
        <v/>
      </c>
      <c r="E18" t="str">
        <f>IF(AND(24&lt;&gt;11,Anmeldung!$D$31&lt;&gt;"",(Anmeldung!$B$31&amp;": "&amp;Anmeldung!$D$31&amp;", "&amp;Anmeldung!$E$31&amp;" / "&amp;Anmeldung!$G$31&amp;" / "&amp;Anmeldung!$J$31)&lt;&gt;Anmeldung!$R$18),Anmeldung!$B$31&amp;": "&amp;Anmeldung!$D$31&amp;", "&amp;Anmeldung!$E$31&amp;" / "&amp;Anmeldung!$G$31&amp;" / "&amp;Anmeldung!$J$31,"")</f>
        <v/>
      </c>
      <c r="F18" t="str">
        <f>IF(AND(23&lt;&gt;10,Anmeldung!$D$31&lt;&gt;"",Anmeldung!$U$31="Ja",Anmeldung!$G$31=Anmeldung!$G$18,Anmeldung!$J$31=Anmeldung!$J$18),Anmeldung!$B$31&amp;": "&amp;Anmeldung!$D$31&amp;", "&amp;Anmeldung!$E$31&amp;" / "&amp;Anmeldung!$G$31&amp;" / "&amp;Anmeldung!$J$31,"")</f>
        <v/>
      </c>
      <c r="I18" t="str">
        <f>IF(AND(24&lt;&gt;12,Anmeldung!$D$31&lt;&gt;"",Anmeldung!$G$31=Anmeldung!$G$19,Anmeldung!$J$31=Anmeldung!$J$19),Anmeldung!$B$31&amp;": "&amp;Anmeldung!$D$31&amp;", "&amp;Anmeldung!$E$31&amp;" / "&amp;Anmeldung!$G$31&amp;" / "&amp;Anmeldung!$J$31,"")</f>
        <v/>
      </c>
      <c r="J18" t="str">
        <f>IF(AND(24&lt;&gt;12,Anmeldung!$D$31&lt;&gt;"",Anmeldung!$G$31=Anmeldung!$G$19,Anmeldung!$J$31=Anmeldung!$J$19,(Anmeldung!$B$31&amp;": "&amp;Anmeldung!$D$31&amp;", "&amp;Anmeldung!$E$31&amp;" / "&amp;Anmeldung!$G$31&amp;" / "&amp;Anmeldung!$J$31)&lt;&gt;Anmeldung!$P$19),Anmeldung!$B$31&amp;": "&amp;Anmeldung!$D$31&amp;", "&amp;Anmeldung!$E$31&amp;" / "&amp;Anmeldung!$G$31&amp;" / "&amp;Anmeldung!$J$31,"")</f>
        <v/>
      </c>
      <c r="K18" t="str">
        <f>IF(AND(24&lt;&gt;12,Anmeldung!$D$31&lt;&gt;"",Anmeldung!$G$31=Anmeldung!$G$19,Anmeldung!$J$31=Anmeldung!$J$19,(Anmeldung!$B$31&amp;": "&amp;Anmeldung!$D$31&amp;", "&amp;Anmeldung!$E$31&amp;" / "&amp;Anmeldung!$G$31&amp;" / "&amp;Anmeldung!$J$31)&lt;&gt;Anmeldung!$O$19),Anmeldung!$B$31&amp;": "&amp;Anmeldung!$D$31&amp;", "&amp;Anmeldung!$E$31&amp;" / "&amp;Anmeldung!$G$31&amp;" / "&amp;Anmeldung!$J$31,"")</f>
        <v/>
      </c>
      <c r="L18" t="str">
        <f>IF(AND(24&lt;&gt;12,Anmeldung!$D$31&lt;&gt;"",Anmeldung!$G$31&lt;&gt;Anmeldung!$G$19,(Anmeldung!$B$31&amp;": "&amp;Anmeldung!$D$31&amp;", "&amp;Anmeldung!$E$31&amp;" / "&amp;Anmeldung!$G$31&amp;" / "&amp;Anmeldung!$J$31)&lt;&gt;Anmeldung!$S$19),Anmeldung!$B$31&amp;": "&amp;Anmeldung!$D$31&amp;", "&amp;Anmeldung!$E$31&amp;" / "&amp;Anmeldung!$G$31&amp;" / "&amp;Anmeldung!$J$31,"")</f>
        <v/>
      </c>
      <c r="M18" t="str">
        <f>IF(AND(24&lt;&gt;12,Anmeldung!$D$31&lt;&gt;"",(Anmeldung!$B$31&amp;": "&amp;Anmeldung!$D$31&amp;", "&amp;Anmeldung!$E$31&amp;" / "&amp;Anmeldung!$G$31&amp;" / "&amp;Anmeldung!$J$31)&lt;&gt;Anmeldung!$R$19),Anmeldung!$B$31&amp;": "&amp;Anmeldung!$D$31&amp;", "&amp;Anmeldung!$E$31&amp;" / "&amp;Anmeldung!$G$31&amp;" / "&amp;Anmeldung!$J$31,"")</f>
        <v/>
      </c>
      <c r="N18" t="str">
        <f>IF(AND(23&lt;&gt;11,Anmeldung!$D$31&lt;&gt;"",Anmeldung!$U$31="Ja",Anmeldung!$G$31=Anmeldung!$G$19,Anmeldung!$J$31=Anmeldung!$J$19),Anmeldung!$B$31&amp;": "&amp;Anmeldung!$D$31&amp;", "&amp;Anmeldung!$E$31&amp;" / "&amp;Anmeldung!$G$31&amp;" / "&amp;Anmeldung!$J$31,"")</f>
        <v/>
      </c>
      <c r="Q18" t="str">
        <f>IF(AND(24&lt;&gt;13,Anmeldung!$D$31&lt;&gt;"",Anmeldung!$G$31=Anmeldung!$G$20,Anmeldung!$J$31=Anmeldung!$J$20),Anmeldung!$B$31&amp;": "&amp;Anmeldung!$D$31&amp;", "&amp;Anmeldung!$E$31&amp;" / "&amp;Anmeldung!$G$31&amp;" / "&amp;Anmeldung!$J$31,"")</f>
        <v/>
      </c>
      <c r="R18" t="str">
        <f>IF(AND(24&lt;&gt;13,Anmeldung!$D$31&lt;&gt;"",Anmeldung!$G$31=Anmeldung!$G$20,Anmeldung!$J$31=Anmeldung!$J$20,(Anmeldung!$B$31&amp;": "&amp;Anmeldung!$D$31&amp;", "&amp;Anmeldung!$E$31&amp;" / "&amp;Anmeldung!$G$31&amp;" / "&amp;Anmeldung!$J$31)&lt;&gt;Anmeldung!$P$20),Anmeldung!$B$31&amp;": "&amp;Anmeldung!$D$31&amp;", "&amp;Anmeldung!$E$31&amp;" / "&amp;Anmeldung!$G$31&amp;" / "&amp;Anmeldung!$J$31,"")</f>
        <v/>
      </c>
      <c r="S18" t="str">
        <f>IF(AND(24&lt;&gt;13,Anmeldung!$D$31&lt;&gt;"",Anmeldung!$G$31=Anmeldung!$G$20,Anmeldung!$J$31=Anmeldung!$J$20,(Anmeldung!$B$31&amp;": "&amp;Anmeldung!$D$31&amp;", "&amp;Anmeldung!$E$31&amp;" / "&amp;Anmeldung!$G$31&amp;" / "&amp;Anmeldung!$J$31)&lt;&gt;Anmeldung!$O$20),Anmeldung!$B$31&amp;": "&amp;Anmeldung!$D$31&amp;", "&amp;Anmeldung!$E$31&amp;" / "&amp;Anmeldung!$G$31&amp;" / "&amp;Anmeldung!$J$31,"")</f>
        <v/>
      </c>
      <c r="T18" t="str">
        <f>IF(AND(24&lt;&gt;13,Anmeldung!$D$31&lt;&gt;"",Anmeldung!$G$31&lt;&gt;Anmeldung!$G$20,(Anmeldung!$B$31&amp;": "&amp;Anmeldung!$D$31&amp;", "&amp;Anmeldung!$E$31&amp;" / "&amp;Anmeldung!$G$31&amp;" / "&amp;Anmeldung!$J$31)&lt;&gt;Anmeldung!$S$20),Anmeldung!$B$31&amp;": "&amp;Anmeldung!$D$31&amp;", "&amp;Anmeldung!$E$31&amp;" / "&amp;Anmeldung!$G$31&amp;" / "&amp;Anmeldung!$J$31,"")</f>
        <v/>
      </c>
      <c r="U18" t="str">
        <f>IF(AND(24&lt;&gt;13,Anmeldung!$D$31&lt;&gt;"",(Anmeldung!$B$31&amp;": "&amp;Anmeldung!$D$31&amp;", "&amp;Anmeldung!$E$31&amp;" / "&amp;Anmeldung!$G$31&amp;" / "&amp;Anmeldung!$J$31)&lt;&gt;Anmeldung!$R$20),Anmeldung!$B$31&amp;": "&amp;Anmeldung!$D$31&amp;", "&amp;Anmeldung!$E$31&amp;" / "&amp;Anmeldung!$G$31&amp;" / "&amp;Anmeldung!$J$31,"")</f>
        <v/>
      </c>
      <c r="V18" t="str">
        <f>IF(AND(23&lt;&gt;12,Anmeldung!$D$31&lt;&gt;"",Anmeldung!$U$31="Ja",Anmeldung!$G$31=Anmeldung!$G$20,Anmeldung!$J$31=Anmeldung!$J$20),Anmeldung!$B$31&amp;": "&amp;Anmeldung!$D$31&amp;", "&amp;Anmeldung!$E$31&amp;" / "&amp;Anmeldung!$G$31&amp;" / "&amp;Anmeldung!$J$31,"")</f>
        <v/>
      </c>
      <c r="Y18" t="str">
        <f>IF(AND(24&lt;&gt;14,Anmeldung!$D$31&lt;&gt;"",Anmeldung!$G$31=Anmeldung!$G$21,Anmeldung!$J$31=Anmeldung!$J$21),Anmeldung!$B$31&amp;": "&amp;Anmeldung!$D$31&amp;", "&amp;Anmeldung!$E$31&amp;" / "&amp;Anmeldung!$G$31&amp;" / "&amp;Anmeldung!$J$31,"")</f>
        <v/>
      </c>
      <c r="Z18" t="str">
        <f>IF(AND(24&lt;&gt;14,Anmeldung!$D$31&lt;&gt;"",Anmeldung!$G$31=Anmeldung!$G$21,Anmeldung!$J$31=Anmeldung!$J$21,(Anmeldung!$B$31&amp;": "&amp;Anmeldung!$D$31&amp;", "&amp;Anmeldung!$E$31&amp;" / "&amp;Anmeldung!$G$31&amp;" / "&amp;Anmeldung!$J$31)&lt;&gt;Anmeldung!$P$21),Anmeldung!$B$31&amp;": "&amp;Anmeldung!$D$31&amp;", "&amp;Anmeldung!$E$31&amp;" / "&amp;Anmeldung!$G$31&amp;" / "&amp;Anmeldung!$J$31,"")</f>
        <v/>
      </c>
      <c r="AA18" t="str">
        <f>IF(AND(24&lt;&gt;14,Anmeldung!$D$31&lt;&gt;"",Anmeldung!$G$31=Anmeldung!$G$21,Anmeldung!$J$31=Anmeldung!$J$21,(Anmeldung!$B$31&amp;": "&amp;Anmeldung!$D$31&amp;", "&amp;Anmeldung!$E$31&amp;" / "&amp;Anmeldung!$G$31&amp;" / "&amp;Anmeldung!$J$31)&lt;&gt;Anmeldung!$O$21),Anmeldung!$B$31&amp;": "&amp;Anmeldung!$D$31&amp;", "&amp;Anmeldung!$E$31&amp;" / "&amp;Anmeldung!$G$31&amp;" / "&amp;Anmeldung!$J$31,"")</f>
        <v/>
      </c>
      <c r="AB18" t="str">
        <f>IF(AND(24&lt;&gt;14,Anmeldung!$D$31&lt;&gt;"",Anmeldung!$G$31&lt;&gt;Anmeldung!$G$21,(Anmeldung!$B$31&amp;": "&amp;Anmeldung!$D$31&amp;", "&amp;Anmeldung!$E$31&amp;" / "&amp;Anmeldung!$G$31&amp;" / "&amp;Anmeldung!$J$31)&lt;&gt;Anmeldung!$S$21),Anmeldung!$B$31&amp;": "&amp;Anmeldung!$D$31&amp;", "&amp;Anmeldung!$E$31&amp;" / "&amp;Anmeldung!$G$31&amp;" / "&amp;Anmeldung!$J$31,"")</f>
        <v/>
      </c>
      <c r="AC18" t="str">
        <f>IF(AND(24&lt;&gt;14,Anmeldung!$D$31&lt;&gt;"",(Anmeldung!$B$31&amp;": "&amp;Anmeldung!$D$31&amp;", "&amp;Anmeldung!$E$31&amp;" / "&amp;Anmeldung!$G$31&amp;" / "&amp;Anmeldung!$J$31)&lt;&gt;Anmeldung!$R$21),Anmeldung!$B$31&amp;": "&amp;Anmeldung!$D$31&amp;", "&amp;Anmeldung!$E$31&amp;" / "&amp;Anmeldung!$G$31&amp;" / "&amp;Anmeldung!$J$31,"")</f>
        <v/>
      </c>
      <c r="AD18" t="str">
        <f>IF(AND(23&lt;&gt;13,Anmeldung!$D$31&lt;&gt;"",Anmeldung!$U$31="Ja",Anmeldung!$G$31=Anmeldung!$G$21,Anmeldung!$J$31=Anmeldung!$J$21),Anmeldung!$B$31&amp;": "&amp;Anmeldung!$D$31&amp;", "&amp;Anmeldung!$E$31&amp;" / "&amp;Anmeldung!$G$31&amp;" / "&amp;Anmeldung!$J$31,"")</f>
        <v/>
      </c>
      <c r="AG18" t="str">
        <f>IF(AND(24&lt;&gt;15,Anmeldung!$D$31&lt;&gt;"",Anmeldung!$G$31=Anmeldung!$G$22,Anmeldung!$J$31=Anmeldung!$J$22),Anmeldung!$B$31&amp;": "&amp;Anmeldung!$D$31&amp;", "&amp;Anmeldung!$E$31&amp;" / "&amp;Anmeldung!$G$31&amp;" / "&amp;Anmeldung!$J$31,"")</f>
        <v/>
      </c>
      <c r="AH18" t="str">
        <f>IF(AND(24&lt;&gt;15,Anmeldung!$D$31&lt;&gt;"",Anmeldung!$G$31=Anmeldung!$G$22,Anmeldung!$J$31=Anmeldung!$J$22,(Anmeldung!$B$31&amp;": "&amp;Anmeldung!$D$31&amp;", "&amp;Anmeldung!$E$31&amp;" / "&amp;Anmeldung!$G$31&amp;" / "&amp;Anmeldung!$J$31)&lt;&gt;Anmeldung!$P$22),Anmeldung!$B$31&amp;": "&amp;Anmeldung!$D$31&amp;", "&amp;Anmeldung!$E$31&amp;" / "&amp;Anmeldung!$G$31&amp;" / "&amp;Anmeldung!$J$31,"")</f>
        <v/>
      </c>
      <c r="AI18" t="str">
        <f>IF(AND(24&lt;&gt;15,Anmeldung!$D$31&lt;&gt;"",Anmeldung!$G$31=Anmeldung!$G$22,Anmeldung!$J$31=Anmeldung!$J$22,(Anmeldung!$B$31&amp;": "&amp;Anmeldung!$D$31&amp;", "&amp;Anmeldung!$E$31&amp;" / "&amp;Anmeldung!$G$31&amp;" / "&amp;Anmeldung!$J$31)&lt;&gt;Anmeldung!$O$22),Anmeldung!$B$31&amp;": "&amp;Anmeldung!$D$31&amp;", "&amp;Anmeldung!$E$31&amp;" / "&amp;Anmeldung!$G$31&amp;" / "&amp;Anmeldung!$J$31,"")</f>
        <v/>
      </c>
      <c r="AJ18" t="str">
        <f>IF(AND(24&lt;&gt;15,Anmeldung!$D$31&lt;&gt;"",Anmeldung!$G$31&lt;&gt;Anmeldung!$G$22,(Anmeldung!$B$31&amp;": "&amp;Anmeldung!$D$31&amp;", "&amp;Anmeldung!$E$31&amp;" / "&amp;Anmeldung!$G$31&amp;" / "&amp;Anmeldung!$J$31)&lt;&gt;Anmeldung!$S$22),Anmeldung!$B$31&amp;": "&amp;Anmeldung!$D$31&amp;", "&amp;Anmeldung!$E$31&amp;" / "&amp;Anmeldung!$G$31&amp;" / "&amp;Anmeldung!$J$31,"")</f>
        <v/>
      </c>
      <c r="AK18" t="str">
        <f>IF(AND(24&lt;&gt;15,Anmeldung!$D$31&lt;&gt;"",(Anmeldung!$B$31&amp;": "&amp;Anmeldung!$D$31&amp;", "&amp;Anmeldung!$E$31&amp;" / "&amp;Anmeldung!$G$31&amp;" / "&amp;Anmeldung!$J$31)&lt;&gt;Anmeldung!$R$22),Anmeldung!$B$31&amp;": "&amp;Anmeldung!$D$31&amp;", "&amp;Anmeldung!$E$31&amp;" / "&amp;Anmeldung!$G$31&amp;" / "&amp;Anmeldung!$J$31,"")</f>
        <v/>
      </c>
      <c r="AL18" t="str">
        <f>IF(AND(23&lt;&gt;14,Anmeldung!$D$31&lt;&gt;"",Anmeldung!$U$31="Ja",Anmeldung!$G$31=Anmeldung!$G$22,Anmeldung!$J$31=Anmeldung!$J$22),Anmeldung!$B$31&amp;": "&amp;Anmeldung!$D$31&amp;", "&amp;Anmeldung!$E$31&amp;" / "&amp;Anmeldung!$G$31&amp;" / "&amp;Anmeldung!$J$31,"")</f>
        <v/>
      </c>
      <c r="AO18" t="str">
        <f>IF(AND(24&lt;&gt;16,Anmeldung!$D$31&lt;&gt;"",Anmeldung!$G$31=Anmeldung!$G$23,Anmeldung!$J$31=Anmeldung!$J$23),Anmeldung!$B$31&amp;": "&amp;Anmeldung!$D$31&amp;", "&amp;Anmeldung!$E$31&amp;" / "&amp;Anmeldung!$G$31&amp;" / "&amp;Anmeldung!$J$31,"")</f>
        <v/>
      </c>
      <c r="AP18" t="str">
        <f>IF(AND(24&lt;&gt;16,Anmeldung!$D$31&lt;&gt;"",Anmeldung!$G$31=Anmeldung!$G$23,Anmeldung!$J$31=Anmeldung!$J$23,(Anmeldung!$B$31&amp;": "&amp;Anmeldung!$D$31&amp;", "&amp;Anmeldung!$E$31&amp;" / "&amp;Anmeldung!$G$31&amp;" / "&amp;Anmeldung!$J$31)&lt;&gt;Anmeldung!$P$23),Anmeldung!$B$31&amp;": "&amp;Anmeldung!$D$31&amp;", "&amp;Anmeldung!$E$31&amp;" / "&amp;Anmeldung!$G$31&amp;" / "&amp;Anmeldung!$J$31,"")</f>
        <v/>
      </c>
      <c r="AQ18" t="str">
        <f>IF(AND(24&lt;&gt;16,Anmeldung!$D$31&lt;&gt;"",Anmeldung!$G$31=Anmeldung!$G$23,Anmeldung!$J$31=Anmeldung!$J$23,(Anmeldung!$B$31&amp;": "&amp;Anmeldung!$D$31&amp;", "&amp;Anmeldung!$E$31&amp;" / "&amp;Anmeldung!$G$31&amp;" / "&amp;Anmeldung!$J$31)&lt;&gt;Anmeldung!$O$23),Anmeldung!$B$31&amp;": "&amp;Anmeldung!$D$31&amp;", "&amp;Anmeldung!$E$31&amp;" / "&amp;Anmeldung!$G$31&amp;" / "&amp;Anmeldung!$J$31,"")</f>
        <v/>
      </c>
      <c r="AR18" t="str">
        <f>IF(AND(24&lt;&gt;16,Anmeldung!$D$31&lt;&gt;"",Anmeldung!$G$31&lt;&gt;Anmeldung!$G$23,(Anmeldung!$B$31&amp;": "&amp;Anmeldung!$D$31&amp;", "&amp;Anmeldung!$E$31&amp;" / "&amp;Anmeldung!$G$31&amp;" / "&amp;Anmeldung!$J$31)&lt;&gt;Anmeldung!$S$23),Anmeldung!$B$31&amp;": "&amp;Anmeldung!$D$31&amp;", "&amp;Anmeldung!$E$31&amp;" / "&amp;Anmeldung!$G$31&amp;" / "&amp;Anmeldung!$J$31,"")</f>
        <v/>
      </c>
      <c r="AS18" t="str">
        <f>IF(AND(24&lt;&gt;16,Anmeldung!$D$31&lt;&gt;"",(Anmeldung!$B$31&amp;": "&amp;Anmeldung!$D$31&amp;", "&amp;Anmeldung!$E$31&amp;" / "&amp;Anmeldung!$G$31&amp;" / "&amp;Anmeldung!$J$31)&lt;&gt;Anmeldung!$R$23),Anmeldung!$B$31&amp;": "&amp;Anmeldung!$D$31&amp;", "&amp;Anmeldung!$E$31&amp;" / "&amp;Anmeldung!$G$31&amp;" / "&amp;Anmeldung!$J$31,"")</f>
        <v/>
      </c>
      <c r="AT18" t="str">
        <f>IF(AND(23&lt;&gt;15,Anmeldung!$D$31&lt;&gt;"",Anmeldung!$U$31="Ja",Anmeldung!$G$31=Anmeldung!$G$23,Anmeldung!$J$31=Anmeldung!$J$23),Anmeldung!$B$31&amp;": "&amp;Anmeldung!$D$31&amp;", "&amp;Anmeldung!$E$31&amp;" / "&amp;Anmeldung!$G$31&amp;" / "&amp;Anmeldung!$J$31,"")</f>
        <v/>
      </c>
      <c r="AW18" t="str">
        <f>IF(AND(24&lt;&gt;17,Anmeldung!$D$31&lt;&gt;"",Anmeldung!$G$31=Anmeldung!$G$24,Anmeldung!$J$31=Anmeldung!$J$24),Anmeldung!$B$31&amp;": "&amp;Anmeldung!$D$31&amp;", "&amp;Anmeldung!$E$31&amp;" / "&amp;Anmeldung!$G$31&amp;" / "&amp;Anmeldung!$J$31,"")</f>
        <v/>
      </c>
      <c r="AX18" t="str">
        <f>IF(AND(24&lt;&gt;17,Anmeldung!$D$31&lt;&gt;"",Anmeldung!$G$31=Anmeldung!$G$24,Anmeldung!$J$31=Anmeldung!$J$24,(Anmeldung!$B$31&amp;": "&amp;Anmeldung!$D$31&amp;", "&amp;Anmeldung!$E$31&amp;" / "&amp;Anmeldung!$G$31&amp;" / "&amp;Anmeldung!$J$31)&lt;&gt;Anmeldung!$P$24),Anmeldung!$B$31&amp;": "&amp;Anmeldung!$D$31&amp;", "&amp;Anmeldung!$E$31&amp;" / "&amp;Anmeldung!$G$31&amp;" / "&amp;Anmeldung!$J$31,"")</f>
        <v/>
      </c>
      <c r="AY18" t="str">
        <f>IF(AND(24&lt;&gt;17,Anmeldung!$D$31&lt;&gt;"",Anmeldung!$G$31=Anmeldung!$G$24,Anmeldung!$J$31=Anmeldung!$J$24,(Anmeldung!$B$31&amp;": "&amp;Anmeldung!$D$31&amp;", "&amp;Anmeldung!$E$31&amp;" / "&amp;Anmeldung!$G$31&amp;" / "&amp;Anmeldung!$J$31)&lt;&gt;Anmeldung!$O$24),Anmeldung!$B$31&amp;": "&amp;Anmeldung!$D$31&amp;", "&amp;Anmeldung!$E$31&amp;" / "&amp;Anmeldung!$G$31&amp;" / "&amp;Anmeldung!$J$31,"")</f>
        <v/>
      </c>
      <c r="AZ18" t="str">
        <f>IF(AND(24&lt;&gt;17,Anmeldung!$D$31&lt;&gt;"",Anmeldung!$G$31&lt;&gt;Anmeldung!$G$24,(Anmeldung!$B$31&amp;": "&amp;Anmeldung!$D$31&amp;", "&amp;Anmeldung!$E$31&amp;" / "&amp;Anmeldung!$G$31&amp;" / "&amp;Anmeldung!$J$31)&lt;&gt;Anmeldung!$S$24),Anmeldung!$B$31&amp;": "&amp;Anmeldung!$D$31&amp;", "&amp;Anmeldung!$E$31&amp;" / "&amp;Anmeldung!$G$31&amp;" / "&amp;Anmeldung!$J$31,"")</f>
        <v/>
      </c>
      <c r="BA18" t="str">
        <f>IF(AND(24&lt;&gt;17,Anmeldung!$D$31&lt;&gt;"",(Anmeldung!$B$31&amp;": "&amp;Anmeldung!$D$31&amp;", "&amp;Anmeldung!$E$31&amp;" / "&amp;Anmeldung!$G$31&amp;" / "&amp;Anmeldung!$J$31)&lt;&gt;Anmeldung!$R$24),Anmeldung!$B$31&amp;": "&amp;Anmeldung!$D$31&amp;", "&amp;Anmeldung!$E$31&amp;" / "&amp;Anmeldung!$G$31&amp;" / "&amp;Anmeldung!$J$31,"")</f>
        <v/>
      </c>
      <c r="BB18" t="str">
        <f>IF(AND(23&lt;&gt;16,Anmeldung!$D$31&lt;&gt;"",Anmeldung!$U$31="Ja",Anmeldung!$G$31=Anmeldung!$G$24,Anmeldung!$J$31=Anmeldung!$J$24),Anmeldung!$B$31&amp;": "&amp;Anmeldung!$D$31&amp;", "&amp;Anmeldung!$E$31&amp;" / "&amp;Anmeldung!$G$31&amp;" / "&amp;Anmeldung!$J$31,"")</f>
        <v/>
      </c>
      <c r="BE18" t="str">
        <f>IF(AND(24&lt;&gt;18,Anmeldung!$D$31&lt;&gt;"",Anmeldung!$G$31=Anmeldung!$G$25,Anmeldung!$J$31=Anmeldung!$J$25),Anmeldung!$B$31&amp;": "&amp;Anmeldung!$D$31&amp;", "&amp;Anmeldung!$E$31&amp;" / "&amp;Anmeldung!$G$31&amp;" / "&amp;Anmeldung!$J$31,"")</f>
        <v/>
      </c>
      <c r="BF18" t="str">
        <f>IF(AND(24&lt;&gt;18,Anmeldung!$D$31&lt;&gt;"",Anmeldung!$G$31=Anmeldung!$G$25,Anmeldung!$J$31=Anmeldung!$J$25,(Anmeldung!$B$31&amp;": "&amp;Anmeldung!$D$31&amp;", "&amp;Anmeldung!$E$31&amp;" / "&amp;Anmeldung!$G$31&amp;" / "&amp;Anmeldung!$J$31)&lt;&gt;Anmeldung!$P$25),Anmeldung!$B$31&amp;": "&amp;Anmeldung!$D$31&amp;", "&amp;Anmeldung!$E$31&amp;" / "&amp;Anmeldung!$G$31&amp;" / "&amp;Anmeldung!$J$31,"")</f>
        <v/>
      </c>
      <c r="BG18" t="str">
        <f>IF(AND(24&lt;&gt;18,Anmeldung!$D$31&lt;&gt;"",Anmeldung!$G$31=Anmeldung!$G$25,Anmeldung!$J$31=Anmeldung!$J$25,(Anmeldung!$B$31&amp;": "&amp;Anmeldung!$D$31&amp;", "&amp;Anmeldung!$E$31&amp;" / "&amp;Anmeldung!$G$31&amp;" / "&amp;Anmeldung!$J$31)&lt;&gt;Anmeldung!$O$25),Anmeldung!$B$31&amp;": "&amp;Anmeldung!$D$31&amp;", "&amp;Anmeldung!$E$31&amp;" / "&amp;Anmeldung!$G$31&amp;" / "&amp;Anmeldung!$J$31,"")</f>
        <v/>
      </c>
      <c r="BH18" t="str">
        <f>IF(AND(24&lt;&gt;18,Anmeldung!$D$31&lt;&gt;"",Anmeldung!$G$31&lt;&gt;Anmeldung!$G$25,(Anmeldung!$B$31&amp;": "&amp;Anmeldung!$D$31&amp;", "&amp;Anmeldung!$E$31&amp;" / "&amp;Anmeldung!$G$31&amp;" / "&amp;Anmeldung!$J$31)&lt;&gt;Anmeldung!$S$25),Anmeldung!$B$31&amp;": "&amp;Anmeldung!$D$31&amp;", "&amp;Anmeldung!$E$31&amp;" / "&amp;Anmeldung!$G$31&amp;" / "&amp;Anmeldung!$J$31,"")</f>
        <v/>
      </c>
      <c r="BI18" t="str">
        <f>IF(AND(24&lt;&gt;18,Anmeldung!$D$31&lt;&gt;"",(Anmeldung!$B$31&amp;": "&amp;Anmeldung!$D$31&amp;", "&amp;Anmeldung!$E$31&amp;" / "&amp;Anmeldung!$G$31&amp;" / "&amp;Anmeldung!$J$31)&lt;&gt;Anmeldung!$R$25),Anmeldung!$B$31&amp;": "&amp;Anmeldung!$D$31&amp;", "&amp;Anmeldung!$E$31&amp;" / "&amp;Anmeldung!$G$31&amp;" / "&amp;Anmeldung!$J$31,"")</f>
        <v/>
      </c>
      <c r="BJ18" t="str">
        <f>IF(AND(23&lt;&gt;17,Anmeldung!$D$31&lt;&gt;"",Anmeldung!$U$31="Ja",Anmeldung!$G$31=Anmeldung!$G$25,Anmeldung!$J$31=Anmeldung!$J$25),Anmeldung!$B$31&amp;": "&amp;Anmeldung!$D$31&amp;", "&amp;Anmeldung!$E$31&amp;" / "&amp;Anmeldung!$G$31&amp;" / "&amp;Anmeldung!$J$31,"")</f>
        <v/>
      </c>
      <c r="BM18" t="str">
        <f>IF(AND(24&lt;&gt;19,Anmeldung!$D$31&lt;&gt;"",Anmeldung!$G$31=Anmeldung!$G$26,Anmeldung!$J$31=Anmeldung!$J$26),Anmeldung!$B$31&amp;": "&amp;Anmeldung!$D$31&amp;", "&amp;Anmeldung!$E$31&amp;" / "&amp;Anmeldung!$G$31&amp;" / "&amp;Anmeldung!$J$31,"")</f>
        <v/>
      </c>
      <c r="BN18" t="str">
        <f>IF(AND(24&lt;&gt;19,Anmeldung!$D$31&lt;&gt;"",Anmeldung!$G$31=Anmeldung!$G$26,Anmeldung!$J$31=Anmeldung!$J$26,(Anmeldung!$B$31&amp;": "&amp;Anmeldung!$D$31&amp;", "&amp;Anmeldung!$E$31&amp;" / "&amp;Anmeldung!$G$31&amp;" / "&amp;Anmeldung!$J$31)&lt;&gt;Anmeldung!$P$26),Anmeldung!$B$31&amp;": "&amp;Anmeldung!$D$31&amp;", "&amp;Anmeldung!$E$31&amp;" / "&amp;Anmeldung!$G$31&amp;" / "&amp;Anmeldung!$J$31,"")</f>
        <v/>
      </c>
      <c r="BO18" t="str">
        <f>IF(AND(24&lt;&gt;19,Anmeldung!$D$31&lt;&gt;"",Anmeldung!$G$31=Anmeldung!$G$26,Anmeldung!$J$31=Anmeldung!$J$26,(Anmeldung!$B$31&amp;": "&amp;Anmeldung!$D$31&amp;", "&amp;Anmeldung!$E$31&amp;" / "&amp;Anmeldung!$G$31&amp;" / "&amp;Anmeldung!$J$31)&lt;&gt;Anmeldung!$O$26),Anmeldung!$B$31&amp;": "&amp;Anmeldung!$D$31&amp;", "&amp;Anmeldung!$E$31&amp;" / "&amp;Anmeldung!$G$31&amp;" / "&amp;Anmeldung!$J$31,"")</f>
        <v/>
      </c>
      <c r="BP18" t="str">
        <f>IF(AND(24&lt;&gt;19,Anmeldung!$D$31&lt;&gt;"",Anmeldung!$G$31&lt;&gt;Anmeldung!$G$26,(Anmeldung!$B$31&amp;": "&amp;Anmeldung!$D$31&amp;", "&amp;Anmeldung!$E$31&amp;" / "&amp;Anmeldung!$G$31&amp;" / "&amp;Anmeldung!$J$31)&lt;&gt;Anmeldung!$S$26),Anmeldung!$B$31&amp;": "&amp;Anmeldung!$D$31&amp;", "&amp;Anmeldung!$E$31&amp;" / "&amp;Anmeldung!$G$31&amp;" / "&amp;Anmeldung!$J$31,"")</f>
        <v/>
      </c>
      <c r="BQ18" t="str">
        <f>IF(AND(24&lt;&gt;19,Anmeldung!$D$31&lt;&gt;"",(Anmeldung!$B$31&amp;": "&amp;Anmeldung!$D$31&amp;", "&amp;Anmeldung!$E$31&amp;" / "&amp;Anmeldung!$G$31&amp;" / "&amp;Anmeldung!$J$31)&lt;&gt;Anmeldung!$R$26),Anmeldung!$B$31&amp;": "&amp;Anmeldung!$D$31&amp;", "&amp;Anmeldung!$E$31&amp;" / "&amp;Anmeldung!$G$31&amp;" / "&amp;Anmeldung!$J$31,"")</f>
        <v/>
      </c>
      <c r="BR18" t="str">
        <f>IF(AND(23&lt;&gt;18,Anmeldung!$D$31&lt;&gt;"",Anmeldung!$U$31="Ja",Anmeldung!$G$31=Anmeldung!$G$26,Anmeldung!$J$31=Anmeldung!$J$26),Anmeldung!$B$31&amp;": "&amp;Anmeldung!$D$31&amp;", "&amp;Anmeldung!$E$31&amp;" / "&amp;Anmeldung!$G$31&amp;" / "&amp;Anmeldung!$J$31,"")</f>
        <v/>
      </c>
      <c r="BU18" t="str">
        <f>IF(AND(24&lt;&gt;20,Anmeldung!$D$31&lt;&gt;"",Anmeldung!$G$31=Anmeldung!$G$27,Anmeldung!$J$31=Anmeldung!$J$27),Anmeldung!$B$31&amp;": "&amp;Anmeldung!$D$31&amp;", "&amp;Anmeldung!$E$31&amp;" / "&amp;Anmeldung!$G$31&amp;" / "&amp;Anmeldung!$J$31,"")</f>
        <v/>
      </c>
      <c r="BV18" t="str">
        <f>IF(AND(24&lt;&gt;20,Anmeldung!$D$31&lt;&gt;"",Anmeldung!$G$31=Anmeldung!$G$27,Anmeldung!$J$31=Anmeldung!$J$27,(Anmeldung!$B$31&amp;": "&amp;Anmeldung!$D$31&amp;", "&amp;Anmeldung!$E$31&amp;" / "&amp;Anmeldung!$G$31&amp;" / "&amp;Anmeldung!$J$31)&lt;&gt;Anmeldung!$P$27),Anmeldung!$B$31&amp;": "&amp;Anmeldung!$D$31&amp;", "&amp;Anmeldung!$E$31&amp;" / "&amp;Anmeldung!$G$31&amp;" / "&amp;Anmeldung!$J$31,"")</f>
        <v/>
      </c>
      <c r="BW18" t="str">
        <f>IF(AND(24&lt;&gt;20,Anmeldung!$D$31&lt;&gt;"",Anmeldung!$G$31=Anmeldung!$G$27,Anmeldung!$J$31=Anmeldung!$J$27,(Anmeldung!$B$31&amp;": "&amp;Anmeldung!$D$31&amp;", "&amp;Anmeldung!$E$31&amp;" / "&amp;Anmeldung!$G$31&amp;" / "&amp;Anmeldung!$J$31)&lt;&gt;Anmeldung!$O$27),Anmeldung!$B$31&amp;": "&amp;Anmeldung!$D$31&amp;", "&amp;Anmeldung!$E$31&amp;" / "&amp;Anmeldung!$G$31&amp;" / "&amp;Anmeldung!$J$31,"")</f>
        <v/>
      </c>
      <c r="BX18" t="str">
        <f>IF(AND(24&lt;&gt;20,Anmeldung!$D$31&lt;&gt;"",Anmeldung!$G$31&lt;&gt;Anmeldung!$G$27,(Anmeldung!$B$31&amp;": "&amp;Anmeldung!$D$31&amp;", "&amp;Anmeldung!$E$31&amp;" / "&amp;Anmeldung!$G$31&amp;" / "&amp;Anmeldung!$J$31)&lt;&gt;Anmeldung!$S$27),Anmeldung!$B$31&amp;": "&amp;Anmeldung!$D$31&amp;", "&amp;Anmeldung!$E$31&amp;" / "&amp;Anmeldung!$G$31&amp;" / "&amp;Anmeldung!$J$31,"")</f>
        <v/>
      </c>
      <c r="BY18" t="str">
        <f>IF(AND(24&lt;&gt;20,Anmeldung!$D$31&lt;&gt;"",(Anmeldung!$B$31&amp;": "&amp;Anmeldung!$D$31&amp;", "&amp;Anmeldung!$E$31&amp;" / "&amp;Anmeldung!$G$31&amp;" / "&amp;Anmeldung!$J$31)&lt;&gt;Anmeldung!$R$27),Anmeldung!$B$31&amp;": "&amp;Anmeldung!$D$31&amp;", "&amp;Anmeldung!$E$31&amp;" / "&amp;Anmeldung!$G$31&amp;" / "&amp;Anmeldung!$J$31,"")</f>
        <v/>
      </c>
      <c r="BZ18" t="str">
        <f>IF(AND(23&lt;&gt;19,Anmeldung!$D$31&lt;&gt;"",Anmeldung!$U$31="Ja",Anmeldung!$G$31=Anmeldung!$G$27,Anmeldung!$J$31=Anmeldung!$J$27),Anmeldung!$B$31&amp;": "&amp;Anmeldung!$D$31&amp;", "&amp;Anmeldung!$E$31&amp;" / "&amp;Anmeldung!$G$31&amp;" / "&amp;Anmeldung!$J$31,"")</f>
        <v/>
      </c>
      <c r="CC18" t="str">
        <f>IF(AND(24&lt;&gt;21,Anmeldung!$D$31&lt;&gt;"",Anmeldung!$G$31=Anmeldung!$G$28,Anmeldung!$J$31=Anmeldung!$J$28),Anmeldung!$B$31&amp;": "&amp;Anmeldung!$D$31&amp;", "&amp;Anmeldung!$E$31&amp;" / "&amp;Anmeldung!$G$31&amp;" / "&amp;Anmeldung!$J$31,"")</f>
        <v/>
      </c>
      <c r="CD18" t="str">
        <f>IF(AND(24&lt;&gt;21,Anmeldung!$D$31&lt;&gt;"",Anmeldung!$G$31=Anmeldung!$G$28,Anmeldung!$J$31=Anmeldung!$J$28,(Anmeldung!$B$31&amp;": "&amp;Anmeldung!$D$31&amp;", "&amp;Anmeldung!$E$31&amp;" / "&amp;Anmeldung!$G$31&amp;" / "&amp;Anmeldung!$J$31)&lt;&gt;Anmeldung!$P$28),Anmeldung!$B$31&amp;": "&amp;Anmeldung!$D$31&amp;", "&amp;Anmeldung!$E$31&amp;" / "&amp;Anmeldung!$G$31&amp;" / "&amp;Anmeldung!$J$31,"")</f>
        <v/>
      </c>
      <c r="CE18" t="str">
        <f>IF(AND(24&lt;&gt;21,Anmeldung!$D$31&lt;&gt;"",Anmeldung!$G$31=Anmeldung!$G$28,Anmeldung!$J$31=Anmeldung!$J$28,(Anmeldung!$B$31&amp;": "&amp;Anmeldung!$D$31&amp;", "&amp;Anmeldung!$E$31&amp;" / "&amp;Anmeldung!$G$31&amp;" / "&amp;Anmeldung!$J$31)&lt;&gt;Anmeldung!$O$28),Anmeldung!$B$31&amp;": "&amp;Anmeldung!$D$31&amp;", "&amp;Anmeldung!$E$31&amp;" / "&amp;Anmeldung!$G$31&amp;" / "&amp;Anmeldung!$J$31,"")</f>
        <v/>
      </c>
      <c r="CF18" t="str">
        <f>IF(AND(24&lt;&gt;21,Anmeldung!$D$31&lt;&gt;"",Anmeldung!$G$31&lt;&gt;Anmeldung!$G$28,(Anmeldung!$B$31&amp;": "&amp;Anmeldung!$D$31&amp;", "&amp;Anmeldung!$E$31&amp;" / "&amp;Anmeldung!$G$31&amp;" / "&amp;Anmeldung!$J$31)&lt;&gt;Anmeldung!$S$28),Anmeldung!$B$31&amp;": "&amp;Anmeldung!$D$31&amp;", "&amp;Anmeldung!$E$31&amp;" / "&amp;Anmeldung!$G$31&amp;" / "&amp;Anmeldung!$J$31,"")</f>
        <v/>
      </c>
      <c r="CG18" t="str">
        <f>IF(AND(24&lt;&gt;21,Anmeldung!$D$31&lt;&gt;"",(Anmeldung!$B$31&amp;": "&amp;Anmeldung!$D$31&amp;", "&amp;Anmeldung!$E$31&amp;" / "&amp;Anmeldung!$G$31&amp;" / "&amp;Anmeldung!$J$31)&lt;&gt;Anmeldung!$R$28),Anmeldung!$B$31&amp;": "&amp;Anmeldung!$D$31&amp;", "&amp;Anmeldung!$E$31&amp;" / "&amp;Anmeldung!$G$31&amp;" / "&amp;Anmeldung!$J$31,"")</f>
        <v/>
      </c>
      <c r="CH18" t="str">
        <f>IF(AND(23&lt;&gt;20,Anmeldung!$D$31&lt;&gt;"",Anmeldung!$U$31="Ja",Anmeldung!$G$31=Anmeldung!$G$28,Anmeldung!$J$31=Anmeldung!$J$28),Anmeldung!$B$31&amp;": "&amp;Anmeldung!$D$31&amp;", "&amp;Anmeldung!$E$31&amp;" / "&amp;Anmeldung!$G$31&amp;" / "&amp;Anmeldung!$J$31,"")</f>
        <v/>
      </c>
      <c r="CK18" t="str">
        <f>IF(AND(24&lt;&gt;22,Anmeldung!$D$31&lt;&gt;"",Anmeldung!$G$31=Anmeldung!$G$29,Anmeldung!$J$31=Anmeldung!$J$29),Anmeldung!$B$31&amp;": "&amp;Anmeldung!$D$31&amp;", "&amp;Anmeldung!$E$31&amp;" / "&amp;Anmeldung!$G$31&amp;" / "&amp;Anmeldung!$J$31,"")</f>
        <v/>
      </c>
      <c r="CL18" t="str">
        <f>IF(AND(24&lt;&gt;22,Anmeldung!$D$31&lt;&gt;"",Anmeldung!$G$31=Anmeldung!$G$29,Anmeldung!$J$31=Anmeldung!$J$29,(Anmeldung!$B$31&amp;": "&amp;Anmeldung!$D$31&amp;", "&amp;Anmeldung!$E$31&amp;" / "&amp;Anmeldung!$G$31&amp;" / "&amp;Anmeldung!$J$31)&lt;&gt;Anmeldung!$P$29),Anmeldung!$B$31&amp;": "&amp;Anmeldung!$D$31&amp;", "&amp;Anmeldung!$E$31&amp;" / "&amp;Anmeldung!$G$31&amp;" / "&amp;Anmeldung!$J$31,"")</f>
        <v/>
      </c>
      <c r="CM18" t="str">
        <f>IF(AND(24&lt;&gt;22,Anmeldung!$D$31&lt;&gt;"",Anmeldung!$G$31=Anmeldung!$G$29,Anmeldung!$J$31=Anmeldung!$J$29,(Anmeldung!$B$31&amp;": "&amp;Anmeldung!$D$31&amp;", "&amp;Anmeldung!$E$31&amp;" / "&amp;Anmeldung!$G$31&amp;" / "&amp;Anmeldung!$J$31)&lt;&gt;Anmeldung!$O$29),Anmeldung!$B$31&amp;": "&amp;Anmeldung!$D$31&amp;", "&amp;Anmeldung!$E$31&amp;" / "&amp;Anmeldung!$G$31&amp;" / "&amp;Anmeldung!$J$31,"")</f>
        <v/>
      </c>
      <c r="CN18" t="str">
        <f>IF(AND(24&lt;&gt;22,Anmeldung!$D$31&lt;&gt;"",Anmeldung!$G$31&lt;&gt;Anmeldung!$G$29,(Anmeldung!$B$31&amp;": "&amp;Anmeldung!$D$31&amp;", "&amp;Anmeldung!$E$31&amp;" / "&amp;Anmeldung!$G$31&amp;" / "&amp;Anmeldung!$J$31)&lt;&gt;Anmeldung!$S$29),Anmeldung!$B$31&amp;": "&amp;Anmeldung!$D$31&amp;", "&amp;Anmeldung!$E$31&amp;" / "&amp;Anmeldung!$G$31&amp;" / "&amp;Anmeldung!$J$31,"")</f>
        <v/>
      </c>
      <c r="CO18" t="str">
        <f>IF(AND(24&lt;&gt;22,Anmeldung!$D$31&lt;&gt;"",(Anmeldung!$B$31&amp;": "&amp;Anmeldung!$D$31&amp;", "&amp;Anmeldung!$E$31&amp;" / "&amp;Anmeldung!$G$31&amp;" / "&amp;Anmeldung!$J$31)&lt;&gt;Anmeldung!$R$29),Anmeldung!$B$31&amp;": "&amp;Anmeldung!$D$31&amp;", "&amp;Anmeldung!$E$31&amp;" / "&amp;Anmeldung!$G$31&amp;" / "&amp;Anmeldung!$J$31,"")</f>
        <v/>
      </c>
      <c r="CP18" t="str">
        <f>IF(AND(23&lt;&gt;21,Anmeldung!$D$31&lt;&gt;"",Anmeldung!$U$31="Ja",Anmeldung!$G$31=Anmeldung!$G$29,Anmeldung!$J$31=Anmeldung!$J$29),Anmeldung!$B$31&amp;": "&amp;Anmeldung!$D$31&amp;", "&amp;Anmeldung!$E$31&amp;" / "&amp;Anmeldung!$G$31&amp;" / "&amp;Anmeldung!$J$31,"")</f>
        <v/>
      </c>
      <c r="CS18" t="str">
        <f>IF(AND(24&lt;&gt;23,Anmeldung!$D$31&lt;&gt;"",Anmeldung!$G$31=Anmeldung!$G$30,Anmeldung!$J$31=Anmeldung!$J$30),Anmeldung!$B$31&amp;": "&amp;Anmeldung!$D$31&amp;", "&amp;Anmeldung!$E$31&amp;" / "&amp;Anmeldung!$G$31&amp;" / "&amp;Anmeldung!$J$31,"")</f>
        <v/>
      </c>
      <c r="CT18" t="str">
        <f>IF(AND(24&lt;&gt;23,Anmeldung!$D$31&lt;&gt;"",Anmeldung!$G$31=Anmeldung!$G$30,Anmeldung!$J$31=Anmeldung!$J$30,(Anmeldung!$B$31&amp;": "&amp;Anmeldung!$D$31&amp;", "&amp;Anmeldung!$E$31&amp;" / "&amp;Anmeldung!$G$31&amp;" / "&amp;Anmeldung!$J$31)&lt;&gt;Anmeldung!$P$30),Anmeldung!$B$31&amp;": "&amp;Anmeldung!$D$31&amp;", "&amp;Anmeldung!$E$31&amp;" / "&amp;Anmeldung!$G$31&amp;" / "&amp;Anmeldung!$J$31,"")</f>
        <v/>
      </c>
      <c r="CU18" t="str">
        <f>IF(AND(24&lt;&gt;23,Anmeldung!$D$31&lt;&gt;"",Anmeldung!$G$31=Anmeldung!$G$30,Anmeldung!$J$31=Anmeldung!$J$30,(Anmeldung!$B$31&amp;": "&amp;Anmeldung!$D$31&amp;", "&amp;Anmeldung!$E$31&amp;" / "&amp;Anmeldung!$G$31&amp;" / "&amp;Anmeldung!$J$31)&lt;&gt;Anmeldung!$O$30),Anmeldung!$B$31&amp;": "&amp;Anmeldung!$D$31&amp;", "&amp;Anmeldung!$E$31&amp;" / "&amp;Anmeldung!$G$31&amp;" / "&amp;Anmeldung!$J$31,"")</f>
        <v/>
      </c>
      <c r="CV18" t="str">
        <f>IF(AND(24&lt;&gt;23,Anmeldung!$D$31&lt;&gt;"",Anmeldung!$G$31&lt;&gt;Anmeldung!$G$30,(Anmeldung!$B$31&amp;": "&amp;Anmeldung!$D$31&amp;", "&amp;Anmeldung!$E$31&amp;" / "&amp;Anmeldung!$G$31&amp;" / "&amp;Anmeldung!$J$31)&lt;&gt;Anmeldung!$S$30),Anmeldung!$B$31&amp;": "&amp;Anmeldung!$D$31&amp;", "&amp;Anmeldung!$E$31&amp;" / "&amp;Anmeldung!$G$31&amp;" / "&amp;Anmeldung!$J$31,"")</f>
        <v/>
      </c>
      <c r="CW18" t="str">
        <f>IF(AND(24&lt;&gt;23,Anmeldung!$D$31&lt;&gt;"",(Anmeldung!$B$31&amp;": "&amp;Anmeldung!$D$31&amp;", "&amp;Anmeldung!$E$31&amp;" / "&amp;Anmeldung!$G$31&amp;" / "&amp;Anmeldung!$J$31)&lt;&gt;Anmeldung!$R$30),Anmeldung!$B$31&amp;": "&amp;Anmeldung!$D$31&amp;", "&amp;Anmeldung!$E$31&amp;" / "&amp;Anmeldung!$G$31&amp;" / "&amp;Anmeldung!$J$31,"")</f>
        <v/>
      </c>
      <c r="CX18" t="str">
        <f>IF(AND(23&lt;&gt;22,Anmeldung!$D$31&lt;&gt;"",Anmeldung!$U$31="Ja",Anmeldung!$G$31=Anmeldung!$G$30,Anmeldung!$J$31=Anmeldung!$J$30),Anmeldung!$B$31&amp;": "&amp;Anmeldung!$D$31&amp;", "&amp;Anmeldung!$E$31&amp;" / "&amp;Anmeldung!$G$31&amp;" / "&amp;Anmeldung!$J$31,"")</f>
        <v/>
      </c>
      <c r="DA18" t="str">
        <f>IF(AND(24&lt;&gt;24,Anmeldung!$D$31&lt;&gt;"",Anmeldung!$G$31=Anmeldung!$G$31,Anmeldung!$J$31=Anmeldung!$J$31),Anmeldung!$B$31&amp;": "&amp;Anmeldung!$D$31&amp;", "&amp;Anmeldung!$E$31&amp;" / "&amp;Anmeldung!$G$31&amp;" / "&amp;Anmeldung!$J$31,"")</f>
        <v/>
      </c>
      <c r="DB18" t="str">
        <f>IF(AND(24&lt;&gt;24,Anmeldung!$D$31&lt;&gt;"",Anmeldung!$G$31=Anmeldung!$G$31,Anmeldung!$J$31=Anmeldung!$J$31,(Anmeldung!$B$31&amp;": "&amp;Anmeldung!$D$31&amp;", "&amp;Anmeldung!$E$31&amp;" / "&amp;Anmeldung!$G$31&amp;" / "&amp;Anmeldung!$J$31)&lt;&gt;Anmeldung!$P$31),Anmeldung!$B$31&amp;": "&amp;Anmeldung!$D$31&amp;", "&amp;Anmeldung!$E$31&amp;" / "&amp;Anmeldung!$G$31&amp;" / "&amp;Anmeldung!$J$31,"")</f>
        <v/>
      </c>
      <c r="DC18" t="str">
        <f>IF(AND(24&lt;&gt;24,Anmeldung!$D$31&lt;&gt;"",Anmeldung!$G$31=Anmeldung!$G$31,Anmeldung!$J$31=Anmeldung!$J$31,(Anmeldung!$B$31&amp;": "&amp;Anmeldung!$D$31&amp;", "&amp;Anmeldung!$E$31&amp;" / "&amp;Anmeldung!$G$31&amp;" / "&amp;Anmeldung!$J$31)&lt;&gt;Anmeldung!$O$31),Anmeldung!$B$31&amp;": "&amp;Anmeldung!$D$31&amp;", "&amp;Anmeldung!$E$31&amp;" / "&amp;Anmeldung!$G$31&amp;" / "&amp;Anmeldung!$J$31,"")</f>
        <v/>
      </c>
      <c r="DD18" t="str">
        <f>IF(AND(24&lt;&gt;24,Anmeldung!$D$31&lt;&gt;"",Anmeldung!$G$31&lt;&gt;Anmeldung!$G$31,(Anmeldung!$B$31&amp;": "&amp;Anmeldung!$D$31&amp;", "&amp;Anmeldung!$E$31&amp;" / "&amp;Anmeldung!$G$31&amp;" / "&amp;Anmeldung!$J$31)&lt;&gt;Anmeldung!$S$31),Anmeldung!$B$31&amp;": "&amp;Anmeldung!$D$31&amp;", "&amp;Anmeldung!$E$31&amp;" / "&amp;Anmeldung!$G$31&amp;" / "&amp;Anmeldung!$J$31,"")</f>
        <v/>
      </c>
      <c r="DE18" t="str">
        <f>IF(AND(24&lt;&gt;24,Anmeldung!$D$31&lt;&gt;"",(Anmeldung!$B$31&amp;": "&amp;Anmeldung!$D$31&amp;", "&amp;Anmeldung!$E$31&amp;" / "&amp;Anmeldung!$G$31&amp;" / "&amp;Anmeldung!$J$31)&lt;&gt;Anmeldung!$R$31),Anmeldung!$B$31&amp;": "&amp;Anmeldung!$D$31&amp;", "&amp;Anmeldung!$E$31&amp;" / "&amp;Anmeldung!$G$31&amp;" / "&amp;Anmeldung!$J$31,"")</f>
        <v/>
      </c>
      <c r="DF18" t="str">
        <f>IF(AND(23&lt;&gt;23,Anmeldung!$D$31&lt;&gt;"",Anmeldung!$U$31="Ja",Anmeldung!$G$31=Anmeldung!$G$31,Anmeldung!$J$31=Anmeldung!$J$31),Anmeldung!$B$31&amp;": "&amp;Anmeldung!$D$31&amp;", "&amp;Anmeldung!$E$31&amp;" / "&amp;Anmeldung!$G$31&amp;" / "&amp;Anmeldung!$J$31,"")</f>
        <v/>
      </c>
      <c r="DI18" t="str">
        <f>IF(AND(24&lt;&gt;25,Anmeldung!$D$31&lt;&gt;"",Anmeldung!$G$31=Anmeldung!$G$32,Anmeldung!$J$31=Anmeldung!$J$32),Anmeldung!$B$31&amp;": "&amp;Anmeldung!$D$31&amp;", "&amp;Anmeldung!$E$31&amp;" / "&amp;Anmeldung!$G$31&amp;" / "&amp;Anmeldung!$J$31,"")</f>
        <v/>
      </c>
      <c r="DJ18" t="str">
        <f>IF(AND(24&lt;&gt;25,Anmeldung!$D$31&lt;&gt;"",Anmeldung!$G$31=Anmeldung!$G$32,Anmeldung!$J$31=Anmeldung!$J$32,(Anmeldung!$B$31&amp;": "&amp;Anmeldung!$D$31&amp;", "&amp;Anmeldung!$E$31&amp;" / "&amp;Anmeldung!$G$31&amp;" / "&amp;Anmeldung!$J$31)&lt;&gt;Anmeldung!$P$32),Anmeldung!$B$31&amp;": "&amp;Anmeldung!$D$31&amp;", "&amp;Anmeldung!$E$31&amp;" / "&amp;Anmeldung!$G$31&amp;" / "&amp;Anmeldung!$J$31,"")</f>
        <v/>
      </c>
      <c r="DK18" t="str">
        <f>IF(AND(24&lt;&gt;25,Anmeldung!$D$31&lt;&gt;"",Anmeldung!$G$31=Anmeldung!$G$32,Anmeldung!$J$31=Anmeldung!$J$32,(Anmeldung!$B$31&amp;": "&amp;Anmeldung!$D$31&amp;", "&amp;Anmeldung!$E$31&amp;" / "&amp;Anmeldung!$G$31&amp;" / "&amp;Anmeldung!$J$31)&lt;&gt;Anmeldung!$O$32),Anmeldung!$B$31&amp;": "&amp;Anmeldung!$D$31&amp;", "&amp;Anmeldung!$E$31&amp;" / "&amp;Anmeldung!$G$31&amp;" / "&amp;Anmeldung!$J$31,"")</f>
        <v/>
      </c>
      <c r="DL18" t="str">
        <f>IF(AND(24&lt;&gt;25,Anmeldung!$D$31&lt;&gt;"",Anmeldung!$G$31&lt;&gt;Anmeldung!$G$32,(Anmeldung!$B$31&amp;": "&amp;Anmeldung!$D$31&amp;", "&amp;Anmeldung!$E$31&amp;" / "&amp;Anmeldung!$G$31&amp;" / "&amp;Anmeldung!$J$31)&lt;&gt;Anmeldung!$S$32),Anmeldung!$B$31&amp;": "&amp;Anmeldung!$D$31&amp;", "&amp;Anmeldung!$E$31&amp;" / "&amp;Anmeldung!$G$31&amp;" / "&amp;Anmeldung!$J$31,"")</f>
        <v/>
      </c>
      <c r="DM18" t="str">
        <f>IF(AND(24&lt;&gt;25,Anmeldung!$D$31&lt;&gt;"",(Anmeldung!$B$31&amp;": "&amp;Anmeldung!$D$31&amp;", "&amp;Anmeldung!$E$31&amp;" / "&amp;Anmeldung!$G$31&amp;" / "&amp;Anmeldung!$J$31)&lt;&gt;Anmeldung!$R$32),Anmeldung!$B$31&amp;": "&amp;Anmeldung!$D$31&amp;", "&amp;Anmeldung!$E$31&amp;" / "&amp;Anmeldung!$G$31&amp;" / "&amp;Anmeldung!$J$31,"")</f>
        <v/>
      </c>
      <c r="DN18" t="str">
        <f>IF(AND(23&lt;&gt;24,Anmeldung!$D$31&lt;&gt;"",Anmeldung!$U$31="Ja",Anmeldung!$G$31=Anmeldung!$G$32,Anmeldung!$J$31=Anmeldung!$J$32),Anmeldung!$B$31&amp;": "&amp;Anmeldung!$D$31&amp;", "&amp;Anmeldung!$E$31&amp;" / "&amp;Anmeldung!$G$31&amp;" / "&amp;Anmeldung!$J$31,"")</f>
        <v/>
      </c>
      <c r="DQ18" t="str">
        <f>IF(AND(24&lt;&gt;26,Anmeldung!$D$31&lt;&gt;"",Anmeldung!$G$31=Anmeldung!$G$33,Anmeldung!$J$31=Anmeldung!$J$33),Anmeldung!$B$31&amp;": "&amp;Anmeldung!$D$31&amp;", "&amp;Anmeldung!$E$31&amp;" / "&amp;Anmeldung!$G$31&amp;" / "&amp;Anmeldung!$J$31,"")</f>
        <v/>
      </c>
      <c r="DR18" t="str">
        <f>IF(AND(24&lt;&gt;26,Anmeldung!$D$31&lt;&gt;"",Anmeldung!$G$31=Anmeldung!$G$33,Anmeldung!$J$31=Anmeldung!$J$33,(Anmeldung!$B$31&amp;": "&amp;Anmeldung!$D$31&amp;", "&amp;Anmeldung!$E$31&amp;" / "&amp;Anmeldung!$G$31&amp;" / "&amp;Anmeldung!$J$31)&lt;&gt;Anmeldung!$P$33),Anmeldung!$B$31&amp;": "&amp;Anmeldung!$D$31&amp;", "&amp;Anmeldung!$E$31&amp;" / "&amp;Anmeldung!$G$31&amp;" / "&amp;Anmeldung!$J$31,"")</f>
        <v/>
      </c>
      <c r="DS18" t="str">
        <f>IF(AND(24&lt;&gt;26,Anmeldung!$D$31&lt;&gt;"",Anmeldung!$G$31=Anmeldung!$G$33,Anmeldung!$J$31=Anmeldung!$J$33,(Anmeldung!$B$31&amp;": "&amp;Anmeldung!$D$31&amp;", "&amp;Anmeldung!$E$31&amp;" / "&amp;Anmeldung!$G$31&amp;" / "&amp;Anmeldung!$J$31)&lt;&gt;Anmeldung!$O$33),Anmeldung!$B$31&amp;": "&amp;Anmeldung!$D$31&amp;", "&amp;Anmeldung!$E$31&amp;" / "&amp;Anmeldung!$G$31&amp;" / "&amp;Anmeldung!$J$31,"")</f>
        <v/>
      </c>
      <c r="DT18" t="str">
        <f>IF(AND(24&lt;&gt;26,Anmeldung!$D$31&lt;&gt;"",Anmeldung!$G$31&lt;&gt;Anmeldung!$G$33,(Anmeldung!$B$31&amp;": "&amp;Anmeldung!$D$31&amp;", "&amp;Anmeldung!$E$31&amp;" / "&amp;Anmeldung!$G$31&amp;" / "&amp;Anmeldung!$J$31)&lt;&gt;Anmeldung!$S$33),Anmeldung!$B$31&amp;": "&amp;Anmeldung!$D$31&amp;", "&amp;Anmeldung!$E$31&amp;" / "&amp;Anmeldung!$G$31&amp;" / "&amp;Anmeldung!$J$31,"")</f>
        <v/>
      </c>
      <c r="DU18" t="str">
        <f>IF(AND(24&lt;&gt;26,Anmeldung!$D$31&lt;&gt;"",(Anmeldung!$B$31&amp;": "&amp;Anmeldung!$D$31&amp;", "&amp;Anmeldung!$E$31&amp;" / "&amp;Anmeldung!$G$31&amp;" / "&amp;Anmeldung!$J$31)&lt;&gt;Anmeldung!$R$33),Anmeldung!$B$31&amp;": "&amp;Anmeldung!$D$31&amp;", "&amp;Anmeldung!$E$31&amp;" / "&amp;Anmeldung!$G$31&amp;" / "&amp;Anmeldung!$J$31,"")</f>
        <v/>
      </c>
      <c r="DV18" t="str">
        <f>IF(AND(23&lt;&gt;25,Anmeldung!$D$31&lt;&gt;"",Anmeldung!$U$31="Ja",Anmeldung!$G$31=Anmeldung!$G$33,Anmeldung!$J$31=Anmeldung!$J$33),Anmeldung!$B$31&amp;": "&amp;Anmeldung!$D$31&amp;", "&amp;Anmeldung!$E$31&amp;" / "&amp;Anmeldung!$G$31&amp;" / "&amp;Anmeldung!$J$31,"")</f>
        <v/>
      </c>
      <c r="DY18" t="str">
        <f>IF(AND(24&lt;&gt;27,Anmeldung!$D$31&lt;&gt;"",Anmeldung!$G$31=Anmeldung!$G$34,Anmeldung!$J$31=Anmeldung!$J$34),Anmeldung!$B$31&amp;": "&amp;Anmeldung!$D$31&amp;", "&amp;Anmeldung!$E$31&amp;" / "&amp;Anmeldung!$G$31&amp;" / "&amp;Anmeldung!$J$31,"")</f>
        <v/>
      </c>
      <c r="DZ18" t="str">
        <f>IF(AND(24&lt;&gt;27,Anmeldung!$D$31&lt;&gt;"",Anmeldung!$G$31=Anmeldung!$G$34,Anmeldung!$J$31=Anmeldung!$J$34,(Anmeldung!$B$31&amp;": "&amp;Anmeldung!$D$31&amp;", "&amp;Anmeldung!$E$31&amp;" / "&amp;Anmeldung!$G$31&amp;" / "&amp;Anmeldung!$J$31)&lt;&gt;Anmeldung!$P$34),Anmeldung!$B$31&amp;": "&amp;Anmeldung!$D$31&amp;", "&amp;Anmeldung!$E$31&amp;" / "&amp;Anmeldung!$G$31&amp;" / "&amp;Anmeldung!$J$31,"")</f>
        <v/>
      </c>
      <c r="EA18" t="str">
        <f>IF(AND(24&lt;&gt;27,Anmeldung!$D$31&lt;&gt;"",Anmeldung!$G$31=Anmeldung!$G$34,Anmeldung!$J$31=Anmeldung!$J$34,(Anmeldung!$B$31&amp;": "&amp;Anmeldung!$D$31&amp;", "&amp;Anmeldung!$E$31&amp;" / "&amp;Anmeldung!$G$31&amp;" / "&amp;Anmeldung!$J$31)&lt;&gt;Anmeldung!$O$34),Anmeldung!$B$31&amp;": "&amp;Anmeldung!$D$31&amp;", "&amp;Anmeldung!$E$31&amp;" / "&amp;Anmeldung!$G$31&amp;" / "&amp;Anmeldung!$J$31,"")</f>
        <v/>
      </c>
      <c r="EB18" t="str">
        <f>IF(AND(24&lt;&gt;27,Anmeldung!$D$31&lt;&gt;"",Anmeldung!$G$31&lt;&gt;Anmeldung!$G$34,(Anmeldung!$B$31&amp;": "&amp;Anmeldung!$D$31&amp;", "&amp;Anmeldung!$E$31&amp;" / "&amp;Anmeldung!$G$31&amp;" / "&amp;Anmeldung!$J$31)&lt;&gt;Anmeldung!$S$34),Anmeldung!$B$31&amp;": "&amp;Anmeldung!$D$31&amp;", "&amp;Anmeldung!$E$31&amp;" / "&amp;Anmeldung!$G$31&amp;" / "&amp;Anmeldung!$J$31,"")</f>
        <v/>
      </c>
      <c r="EC18" t="str">
        <f>IF(AND(24&lt;&gt;27,Anmeldung!$D$31&lt;&gt;"",(Anmeldung!$B$31&amp;": "&amp;Anmeldung!$D$31&amp;", "&amp;Anmeldung!$E$31&amp;" / "&amp;Anmeldung!$G$31&amp;" / "&amp;Anmeldung!$J$31)&lt;&gt;Anmeldung!$R$34),Anmeldung!$B$31&amp;": "&amp;Anmeldung!$D$31&amp;", "&amp;Anmeldung!$E$31&amp;" / "&amp;Anmeldung!$G$31&amp;" / "&amp;Anmeldung!$J$31,"")</f>
        <v/>
      </c>
      <c r="ED18" t="str">
        <f>IF(AND(23&lt;&gt;26,Anmeldung!$D$31&lt;&gt;"",Anmeldung!$U$31="Ja",Anmeldung!$G$31=Anmeldung!$G$34,Anmeldung!$J$31=Anmeldung!$J$34),Anmeldung!$B$31&amp;": "&amp;Anmeldung!$D$31&amp;", "&amp;Anmeldung!$E$31&amp;" / "&amp;Anmeldung!$G$31&amp;" / "&amp;Anmeldung!$J$31,"")</f>
        <v/>
      </c>
      <c r="EG18" t="str">
        <f>IF(AND(24&lt;&gt;28,Anmeldung!$D$31&lt;&gt;"",Anmeldung!$G$31=Anmeldung!$G$35,Anmeldung!$J$31=Anmeldung!$J$35),Anmeldung!$B$31&amp;": "&amp;Anmeldung!$D$31&amp;", "&amp;Anmeldung!$E$31&amp;" / "&amp;Anmeldung!$G$31&amp;" / "&amp;Anmeldung!$J$31,"")</f>
        <v/>
      </c>
      <c r="EH18" t="str">
        <f>IF(AND(24&lt;&gt;28,Anmeldung!$D$31&lt;&gt;"",Anmeldung!$G$31=Anmeldung!$G$35,Anmeldung!$J$31=Anmeldung!$J$35,(Anmeldung!$B$31&amp;": "&amp;Anmeldung!$D$31&amp;", "&amp;Anmeldung!$E$31&amp;" / "&amp;Anmeldung!$G$31&amp;" / "&amp;Anmeldung!$J$31)&lt;&gt;Anmeldung!$P$35),Anmeldung!$B$31&amp;": "&amp;Anmeldung!$D$31&amp;", "&amp;Anmeldung!$E$31&amp;" / "&amp;Anmeldung!$G$31&amp;" / "&amp;Anmeldung!$J$31,"")</f>
        <v/>
      </c>
      <c r="EI18" t="str">
        <f>IF(AND(24&lt;&gt;28,Anmeldung!$D$31&lt;&gt;"",Anmeldung!$G$31=Anmeldung!$G$35,Anmeldung!$J$31=Anmeldung!$J$35,(Anmeldung!$B$31&amp;": "&amp;Anmeldung!$D$31&amp;", "&amp;Anmeldung!$E$31&amp;" / "&amp;Anmeldung!$G$31&amp;" / "&amp;Anmeldung!$J$31)&lt;&gt;Anmeldung!$O$35),Anmeldung!$B$31&amp;": "&amp;Anmeldung!$D$31&amp;", "&amp;Anmeldung!$E$31&amp;" / "&amp;Anmeldung!$G$31&amp;" / "&amp;Anmeldung!$J$31,"")</f>
        <v/>
      </c>
      <c r="EJ18" t="str">
        <f>IF(AND(24&lt;&gt;28,Anmeldung!$D$31&lt;&gt;"",Anmeldung!$G$31&lt;&gt;Anmeldung!$G$35,(Anmeldung!$B$31&amp;": "&amp;Anmeldung!$D$31&amp;", "&amp;Anmeldung!$E$31&amp;" / "&amp;Anmeldung!$G$31&amp;" / "&amp;Anmeldung!$J$31)&lt;&gt;Anmeldung!$S$35),Anmeldung!$B$31&amp;": "&amp;Anmeldung!$D$31&amp;", "&amp;Anmeldung!$E$31&amp;" / "&amp;Anmeldung!$G$31&amp;" / "&amp;Anmeldung!$J$31,"")</f>
        <v/>
      </c>
      <c r="EK18" t="str">
        <f>IF(AND(24&lt;&gt;28,Anmeldung!$D$31&lt;&gt;"",(Anmeldung!$B$31&amp;": "&amp;Anmeldung!$D$31&amp;", "&amp;Anmeldung!$E$31&amp;" / "&amp;Anmeldung!$G$31&amp;" / "&amp;Anmeldung!$J$31)&lt;&gt;Anmeldung!$R$35),Anmeldung!$B$31&amp;": "&amp;Anmeldung!$D$31&amp;", "&amp;Anmeldung!$E$31&amp;" / "&amp;Anmeldung!$G$31&amp;" / "&amp;Anmeldung!$J$31,"")</f>
        <v/>
      </c>
      <c r="EL18" t="str">
        <f>IF(AND(23&lt;&gt;27,Anmeldung!$D$31&lt;&gt;"",Anmeldung!$U$31="Ja",Anmeldung!$G$31=Anmeldung!$G$35,Anmeldung!$J$31=Anmeldung!$J$35),Anmeldung!$B$31&amp;": "&amp;Anmeldung!$D$31&amp;", "&amp;Anmeldung!$E$31&amp;" / "&amp;Anmeldung!$G$31&amp;" / "&amp;Anmeldung!$J$31,"")</f>
        <v/>
      </c>
      <c r="EO18" t="str">
        <f>IF(AND(24&lt;&gt;29,Anmeldung!$D$31&lt;&gt;"",Anmeldung!$G$31=Anmeldung!$G$36,Anmeldung!$J$31=Anmeldung!$J$36),Anmeldung!$B$31&amp;": "&amp;Anmeldung!$D$31&amp;", "&amp;Anmeldung!$E$31&amp;" / "&amp;Anmeldung!$G$31&amp;" / "&amp;Anmeldung!$J$31,"")</f>
        <v/>
      </c>
      <c r="EP18" t="str">
        <f>IF(AND(24&lt;&gt;29,Anmeldung!$D$31&lt;&gt;"",Anmeldung!$G$31=Anmeldung!$G$36,Anmeldung!$J$31=Anmeldung!$J$36,(Anmeldung!$B$31&amp;": "&amp;Anmeldung!$D$31&amp;", "&amp;Anmeldung!$E$31&amp;" / "&amp;Anmeldung!$G$31&amp;" / "&amp;Anmeldung!$J$31)&lt;&gt;Anmeldung!$P$36),Anmeldung!$B$31&amp;": "&amp;Anmeldung!$D$31&amp;", "&amp;Anmeldung!$E$31&amp;" / "&amp;Anmeldung!$G$31&amp;" / "&amp;Anmeldung!$J$31,"")</f>
        <v/>
      </c>
      <c r="EQ18" t="str">
        <f>IF(AND(24&lt;&gt;29,Anmeldung!$D$31&lt;&gt;"",Anmeldung!$G$31=Anmeldung!$G$36,Anmeldung!$J$31=Anmeldung!$J$36,(Anmeldung!$B$31&amp;": "&amp;Anmeldung!$D$31&amp;", "&amp;Anmeldung!$E$31&amp;" / "&amp;Anmeldung!$G$31&amp;" / "&amp;Anmeldung!$J$31)&lt;&gt;Anmeldung!$O$36),Anmeldung!$B$31&amp;": "&amp;Anmeldung!$D$31&amp;", "&amp;Anmeldung!$E$31&amp;" / "&amp;Anmeldung!$G$31&amp;" / "&amp;Anmeldung!$J$31,"")</f>
        <v/>
      </c>
      <c r="ER18" t="str">
        <f>IF(AND(24&lt;&gt;29,Anmeldung!$D$31&lt;&gt;"",Anmeldung!$G$31&lt;&gt;Anmeldung!$G$36,(Anmeldung!$B$31&amp;": "&amp;Anmeldung!$D$31&amp;", "&amp;Anmeldung!$E$31&amp;" / "&amp;Anmeldung!$G$31&amp;" / "&amp;Anmeldung!$J$31)&lt;&gt;Anmeldung!$S$36),Anmeldung!$B$31&amp;": "&amp;Anmeldung!$D$31&amp;", "&amp;Anmeldung!$E$31&amp;" / "&amp;Anmeldung!$G$31&amp;" / "&amp;Anmeldung!$J$31,"")</f>
        <v/>
      </c>
      <c r="ES18" t="str">
        <f>IF(AND(24&lt;&gt;29,Anmeldung!$D$31&lt;&gt;"",(Anmeldung!$B$31&amp;": "&amp;Anmeldung!$D$31&amp;", "&amp;Anmeldung!$E$31&amp;" / "&amp;Anmeldung!$G$31&amp;" / "&amp;Anmeldung!$J$31)&lt;&gt;Anmeldung!$R$36),Anmeldung!$B$31&amp;": "&amp;Anmeldung!$D$31&amp;", "&amp;Anmeldung!$E$31&amp;" / "&amp;Anmeldung!$G$31&amp;" / "&amp;Anmeldung!$J$31,"")</f>
        <v/>
      </c>
      <c r="ET18" t="str">
        <f>IF(AND(23&lt;&gt;28,Anmeldung!$D$31&lt;&gt;"",Anmeldung!$U$31="Ja",Anmeldung!$G$31=Anmeldung!$G$36,Anmeldung!$J$31=Anmeldung!$J$36),Anmeldung!$B$31&amp;": "&amp;Anmeldung!$D$31&amp;", "&amp;Anmeldung!$E$31&amp;" / "&amp;Anmeldung!$G$31&amp;" / "&amp;Anmeldung!$J$31,"")</f>
        <v/>
      </c>
      <c r="EW18" t="str">
        <f>IF(AND(24&lt;&gt;30,Anmeldung!$D$31&lt;&gt;"",Anmeldung!$G$31=Anmeldung!$G$37,Anmeldung!$J$31=Anmeldung!$J$37),Anmeldung!$B$31&amp;": "&amp;Anmeldung!$D$31&amp;", "&amp;Anmeldung!$E$31&amp;" / "&amp;Anmeldung!$G$31&amp;" / "&amp;Anmeldung!$J$31,"")</f>
        <v/>
      </c>
      <c r="EX18" t="str">
        <f>IF(AND(24&lt;&gt;30,Anmeldung!$D$31&lt;&gt;"",Anmeldung!$G$31=Anmeldung!$G$37,Anmeldung!$J$31=Anmeldung!$J$37,(Anmeldung!$B$31&amp;": "&amp;Anmeldung!$D$31&amp;", "&amp;Anmeldung!$E$31&amp;" / "&amp;Anmeldung!$G$31&amp;" / "&amp;Anmeldung!$J$31)&lt;&gt;Anmeldung!$P$37),Anmeldung!$B$31&amp;": "&amp;Anmeldung!$D$31&amp;", "&amp;Anmeldung!$E$31&amp;" / "&amp;Anmeldung!$G$31&amp;" / "&amp;Anmeldung!$J$31,"")</f>
        <v/>
      </c>
      <c r="EY18" t="str">
        <f>IF(AND(24&lt;&gt;30,Anmeldung!$D$31&lt;&gt;"",Anmeldung!$G$31=Anmeldung!$G$37,Anmeldung!$J$31=Anmeldung!$J$37,(Anmeldung!$B$31&amp;": "&amp;Anmeldung!$D$31&amp;", "&amp;Anmeldung!$E$31&amp;" / "&amp;Anmeldung!$G$31&amp;" / "&amp;Anmeldung!$J$31)&lt;&gt;Anmeldung!$O$37),Anmeldung!$B$31&amp;": "&amp;Anmeldung!$D$31&amp;", "&amp;Anmeldung!$E$31&amp;" / "&amp;Anmeldung!$G$31&amp;" / "&amp;Anmeldung!$J$31,"")</f>
        <v/>
      </c>
      <c r="EZ18" t="str">
        <f>IF(AND(24&lt;&gt;30,Anmeldung!$D$31&lt;&gt;"",Anmeldung!$G$31&lt;&gt;Anmeldung!$G$37,(Anmeldung!$B$31&amp;": "&amp;Anmeldung!$D$31&amp;", "&amp;Anmeldung!$E$31&amp;" / "&amp;Anmeldung!$G$31&amp;" / "&amp;Anmeldung!$J$31)&lt;&gt;Anmeldung!$S$37),Anmeldung!$B$31&amp;": "&amp;Anmeldung!$D$31&amp;", "&amp;Anmeldung!$E$31&amp;" / "&amp;Anmeldung!$G$31&amp;" / "&amp;Anmeldung!$J$31,"")</f>
        <v/>
      </c>
      <c r="FA18" t="str">
        <f>IF(AND(24&lt;&gt;30,Anmeldung!$D$31&lt;&gt;"",(Anmeldung!$B$31&amp;": "&amp;Anmeldung!$D$31&amp;", "&amp;Anmeldung!$E$31&amp;" / "&amp;Anmeldung!$G$31&amp;" / "&amp;Anmeldung!$J$31)&lt;&gt;Anmeldung!$R$37),Anmeldung!$B$31&amp;": "&amp;Anmeldung!$D$31&amp;", "&amp;Anmeldung!$E$31&amp;" / "&amp;Anmeldung!$G$31&amp;" / "&amp;Anmeldung!$J$31,"")</f>
        <v/>
      </c>
      <c r="FB18" t="str">
        <f>IF(AND(23&lt;&gt;29,Anmeldung!$D$31&lt;&gt;"",Anmeldung!$U$31="Ja",Anmeldung!$G$31=Anmeldung!$G$37,Anmeldung!$J$31=Anmeldung!$J$37),Anmeldung!$B$31&amp;": "&amp;Anmeldung!$D$31&amp;", "&amp;Anmeldung!$E$31&amp;" / "&amp;Anmeldung!$G$31&amp;" / "&amp;Anmeldung!$J$31,"")</f>
        <v/>
      </c>
      <c r="FE18" t="str">
        <f>IF(AND(24&lt;&gt;31,Anmeldung!$D$31&lt;&gt;"",Anmeldung!$G$31=Anmeldung!$G$38,Anmeldung!$J$31=Anmeldung!$J$38),Anmeldung!$B$31&amp;": "&amp;Anmeldung!$D$31&amp;", "&amp;Anmeldung!$E$31&amp;" / "&amp;Anmeldung!$G$31&amp;" / "&amp;Anmeldung!$J$31,"")</f>
        <v/>
      </c>
      <c r="FF18" t="str">
        <f>IF(AND(24&lt;&gt;31,Anmeldung!$D$31&lt;&gt;"",Anmeldung!$G$31=Anmeldung!$G$38,Anmeldung!$J$31=Anmeldung!$J$38,(Anmeldung!$B$31&amp;": "&amp;Anmeldung!$D$31&amp;", "&amp;Anmeldung!$E$31&amp;" / "&amp;Anmeldung!$G$31&amp;" / "&amp;Anmeldung!$J$31)&lt;&gt;Anmeldung!$P$38),Anmeldung!$B$31&amp;": "&amp;Anmeldung!$D$31&amp;", "&amp;Anmeldung!$E$31&amp;" / "&amp;Anmeldung!$G$31&amp;" / "&amp;Anmeldung!$J$31,"")</f>
        <v/>
      </c>
      <c r="FG18" t="str">
        <f>IF(AND(24&lt;&gt;31,Anmeldung!$D$31&lt;&gt;"",Anmeldung!$G$31=Anmeldung!$G$38,Anmeldung!$J$31=Anmeldung!$J$38,(Anmeldung!$B$31&amp;": "&amp;Anmeldung!$D$31&amp;", "&amp;Anmeldung!$E$31&amp;" / "&amp;Anmeldung!$G$31&amp;" / "&amp;Anmeldung!$J$31)&lt;&gt;Anmeldung!$O$38),Anmeldung!$B$31&amp;": "&amp;Anmeldung!$D$31&amp;", "&amp;Anmeldung!$E$31&amp;" / "&amp;Anmeldung!$G$31&amp;" / "&amp;Anmeldung!$J$31,"")</f>
        <v/>
      </c>
      <c r="FH18" t="str">
        <f>IF(AND(24&lt;&gt;31,Anmeldung!$D$31&lt;&gt;"",Anmeldung!$G$31&lt;&gt;Anmeldung!$G$38,(Anmeldung!$B$31&amp;": "&amp;Anmeldung!$D$31&amp;", "&amp;Anmeldung!$E$31&amp;" / "&amp;Anmeldung!$G$31&amp;" / "&amp;Anmeldung!$J$31)&lt;&gt;Anmeldung!$S$38),Anmeldung!$B$31&amp;": "&amp;Anmeldung!$D$31&amp;", "&amp;Anmeldung!$E$31&amp;" / "&amp;Anmeldung!$G$31&amp;" / "&amp;Anmeldung!$J$31,"")</f>
        <v/>
      </c>
      <c r="FI18" t="str">
        <f>IF(AND(24&lt;&gt;31,Anmeldung!$D$31&lt;&gt;"",(Anmeldung!$B$31&amp;": "&amp;Anmeldung!$D$31&amp;", "&amp;Anmeldung!$E$31&amp;" / "&amp;Anmeldung!$G$31&amp;" / "&amp;Anmeldung!$J$31)&lt;&gt;Anmeldung!$R$38),Anmeldung!$B$31&amp;": "&amp;Anmeldung!$D$31&amp;", "&amp;Anmeldung!$E$31&amp;" / "&amp;Anmeldung!$G$31&amp;" / "&amp;Anmeldung!$J$31,"")</f>
        <v/>
      </c>
      <c r="FJ18" t="str">
        <f>IF(AND(23&lt;&gt;30,Anmeldung!$D$31&lt;&gt;"",Anmeldung!$U$31="Ja",Anmeldung!$G$31=Anmeldung!$G$38,Anmeldung!$J$31=Anmeldung!$J$38),Anmeldung!$B$31&amp;": "&amp;Anmeldung!$D$31&amp;", "&amp;Anmeldung!$E$31&amp;" / "&amp;Anmeldung!$G$31&amp;" / "&amp;Anmeldung!$J$31,"")</f>
        <v/>
      </c>
      <c r="FM18" t="str">
        <f>IF(AND(24&lt;&gt;32,Anmeldung!$D$31&lt;&gt;"",Anmeldung!$G$31=Anmeldung!$G$39,Anmeldung!$J$31=Anmeldung!$J$39),Anmeldung!$B$31&amp;": "&amp;Anmeldung!$D$31&amp;", "&amp;Anmeldung!$E$31&amp;" / "&amp;Anmeldung!$G$31&amp;" / "&amp;Anmeldung!$J$31,"")</f>
        <v/>
      </c>
      <c r="FN18" t="str">
        <f>IF(AND(24&lt;&gt;32,Anmeldung!$D$31&lt;&gt;"",Anmeldung!$G$31=Anmeldung!$G$39,Anmeldung!$J$31=Anmeldung!$J$39,(Anmeldung!$B$31&amp;": "&amp;Anmeldung!$D$31&amp;", "&amp;Anmeldung!$E$31&amp;" / "&amp;Anmeldung!$G$31&amp;" / "&amp;Anmeldung!$J$31)&lt;&gt;Anmeldung!$P$39),Anmeldung!$B$31&amp;": "&amp;Anmeldung!$D$31&amp;", "&amp;Anmeldung!$E$31&amp;" / "&amp;Anmeldung!$G$31&amp;" / "&amp;Anmeldung!$J$31,"")</f>
        <v/>
      </c>
      <c r="FO18" t="str">
        <f>IF(AND(24&lt;&gt;32,Anmeldung!$D$31&lt;&gt;"",Anmeldung!$G$31=Anmeldung!$G$39,Anmeldung!$J$31=Anmeldung!$J$39,(Anmeldung!$B$31&amp;": "&amp;Anmeldung!$D$31&amp;", "&amp;Anmeldung!$E$31&amp;" / "&amp;Anmeldung!$G$31&amp;" / "&amp;Anmeldung!$J$31)&lt;&gt;Anmeldung!$O$39),Anmeldung!$B$31&amp;": "&amp;Anmeldung!$D$31&amp;", "&amp;Anmeldung!$E$31&amp;" / "&amp;Anmeldung!$G$31&amp;" / "&amp;Anmeldung!$J$31,"")</f>
        <v/>
      </c>
      <c r="FP18" t="str">
        <f>IF(AND(24&lt;&gt;32,Anmeldung!$D$31&lt;&gt;"",Anmeldung!$G$31&lt;&gt;Anmeldung!$G$39,(Anmeldung!$B$31&amp;": "&amp;Anmeldung!$D$31&amp;", "&amp;Anmeldung!$E$31&amp;" / "&amp;Anmeldung!$G$31&amp;" / "&amp;Anmeldung!$J$31)&lt;&gt;Anmeldung!$S$39),Anmeldung!$B$31&amp;": "&amp;Anmeldung!$D$31&amp;", "&amp;Anmeldung!$E$31&amp;" / "&amp;Anmeldung!$G$31&amp;" / "&amp;Anmeldung!$J$31,"")</f>
        <v/>
      </c>
      <c r="FQ18" t="str">
        <f>IF(AND(24&lt;&gt;32,Anmeldung!$D$31&lt;&gt;"",(Anmeldung!$B$31&amp;": "&amp;Anmeldung!$D$31&amp;", "&amp;Anmeldung!$E$31&amp;" / "&amp;Anmeldung!$G$31&amp;" / "&amp;Anmeldung!$J$31)&lt;&gt;Anmeldung!$R$39),Anmeldung!$B$31&amp;": "&amp;Anmeldung!$D$31&amp;", "&amp;Anmeldung!$E$31&amp;" / "&amp;Anmeldung!$G$31&amp;" / "&amp;Anmeldung!$J$31,"")</f>
        <v/>
      </c>
      <c r="FR18" t="str">
        <f>IF(AND(23&lt;&gt;31,Anmeldung!$D$31&lt;&gt;"",Anmeldung!$U$31="Ja",Anmeldung!$G$31=Anmeldung!$G$39,Anmeldung!$J$31=Anmeldung!$J$39),Anmeldung!$B$31&amp;": "&amp;Anmeldung!$D$31&amp;", "&amp;Anmeldung!$E$31&amp;" / "&amp;Anmeldung!$G$31&amp;" / "&amp;Anmeldung!$J$31,"")</f>
        <v/>
      </c>
      <c r="FU18" t="str">
        <f>IF(AND(24&lt;&gt;33,Anmeldung!$D$31&lt;&gt;"",Anmeldung!$G$31=Anmeldung!$G$40,Anmeldung!$J$31=Anmeldung!$J$40),Anmeldung!$B$31&amp;": "&amp;Anmeldung!$D$31&amp;", "&amp;Anmeldung!$E$31&amp;" / "&amp;Anmeldung!$G$31&amp;" / "&amp;Anmeldung!$J$31,"")</f>
        <v/>
      </c>
      <c r="FV18" t="str">
        <f>IF(AND(24&lt;&gt;33,Anmeldung!$D$31&lt;&gt;"",Anmeldung!$G$31=Anmeldung!$G$40,Anmeldung!$J$31=Anmeldung!$J$40,(Anmeldung!$B$31&amp;": "&amp;Anmeldung!$D$31&amp;", "&amp;Anmeldung!$E$31&amp;" / "&amp;Anmeldung!$G$31&amp;" / "&amp;Anmeldung!$J$31)&lt;&gt;Anmeldung!$P$40),Anmeldung!$B$31&amp;": "&amp;Anmeldung!$D$31&amp;", "&amp;Anmeldung!$E$31&amp;" / "&amp;Anmeldung!$G$31&amp;" / "&amp;Anmeldung!$J$31,"")</f>
        <v/>
      </c>
      <c r="FW18" t="str">
        <f>IF(AND(24&lt;&gt;33,Anmeldung!$D$31&lt;&gt;"",Anmeldung!$G$31=Anmeldung!$G$40,Anmeldung!$J$31=Anmeldung!$J$40,(Anmeldung!$B$31&amp;": "&amp;Anmeldung!$D$31&amp;", "&amp;Anmeldung!$E$31&amp;" / "&amp;Anmeldung!$G$31&amp;" / "&amp;Anmeldung!$J$31)&lt;&gt;Anmeldung!$O$40),Anmeldung!$B$31&amp;": "&amp;Anmeldung!$D$31&amp;", "&amp;Anmeldung!$E$31&amp;" / "&amp;Anmeldung!$G$31&amp;" / "&amp;Anmeldung!$J$31,"")</f>
        <v/>
      </c>
      <c r="FX18" t="str">
        <f>IF(AND(24&lt;&gt;33,Anmeldung!$D$31&lt;&gt;"",Anmeldung!$G$31&lt;&gt;Anmeldung!$G$40,(Anmeldung!$B$31&amp;": "&amp;Anmeldung!$D$31&amp;", "&amp;Anmeldung!$E$31&amp;" / "&amp;Anmeldung!$G$31&amp;" / "&amp;Anmeldung!$J$31)&lt;&gt;Anmeldung!$S$40),Anmeldung!$B$31&amp;": "&amp;Anmeldung!$D$31&amp;", "&amp;Anmeldung!$E$31&amp;" / "&amp;Anmeldung!$G$31&amp;" / "&amp;Anmeldung!$J$31,"")</f>
        <v/>
      </c>
      <c r="FY18" t="str">
        <f>IF(AND(24&lt;&gt;33,Anmeldung!$D$31&lt;&gt;"",(Anmeldung!$B$31&amp;": "&amp;Anmeldung!$D$31&amp;", "&amp;Anmeldung!$E$31&amp;" / "&amp;Anmeldung!$G$31&amp;" / "&amp;Anmeldung!$J$31)&lt;&gt;Anmeldung!$R$40),Anmeldung!$B$31&amp;": "&amp;Anmeldung!$D$31&amp;", "&amp;Anmeldung!$E$31&amp;" / "&amp;Anmeldung!$G$31&amp;" / "&amp;Anmeldung!$J$31,"")</f>
        <v/>
      </c>
      <c r="FZ18" t="str">
        <f>IF(AND(23&lt;&gt;32,Anmeldung!$D$31&lt;&gt;"",Anmeldung!$U$31="Ja",Anmeldung!$G$31=Anmeldung!$G$40,Anmeldung!$J$31=Anmeldung!$J$40),Anmeldung!$B$31&amp;": "&amp;Anmeldung!$D$31&amp;", "&amp;Anmeldung!$E$31&amp;" / "&amp;Anmeldung!$G$31&amp;" / "&amp;Anmeldung!$J$31,"")</f>
        <v/>
      </c>
      <c r="GC18" t="str">
        <f>IF(AND(24&lt;&gt;34,Anmeldung!$D$31&lt;&gt;"",Anmeldung!$G$31=Anmeldung!$G$41,Anmeldung!$J$31=Anmeldung!$J$41),Anmeldung!$B$31&amp;": "&amp;Anmeldung!$D$31&amp;", "&amp;Anmeldung!$E$31&amp;" / "&amp;Anmeldung!$G$31&amp;" / "&amp;Anmeldung!$J$31,"")</f>
        <v/>
      </c>
      <c r="GD18" t="str">
        <f>IF(AND(24&lt;&gt;34,Anmeldung!$D$31&lt;&gt;"",Anmeldung!$G$31=Anmeldung!$G$41,Anmeldung!$J$31=Anmeldung!$J$41,(Anmeldung!$B$31&amp;": "&amp;Anmeldung!$D$31&amp;", "&amp;Anmeldung!$E$31&amp;" / "&amp;Anmeldung!$G$31&amp;" / "&amp;Anmeldung!$J$31)&lt;&gt;Anmeldung!$P$41),Anmeldung!$B$31&amp;": "&amp;Anmeldung!$D$31&amp;", "&amp;Anmeldung!$E$31&amp;" / "&amp;Anmeldung!$G$31&amp;" / "&amp;Anmeldung!$J$31,"")</f>
        <v/>
      </c>
      <c r="GE18" t="str">
        <f>IF(AND(24&lt;&gt;34,Anmeldung!$D$31&lt;&gt;"",Anmeldung!$G$31=Anmeldung!$G$41,Anmeldung!$J$31=Anmeldung!$J$41,(Anmeldung!$B$31&amp;": "&amp;Anmeldung!$D$31&amp;", "&amp;Anmeldung!$E$31&amp;" / "&amp;Anmeldung!$G$31&amp;" / "&amp;Anmeldung!$J$31)&lt;&gt;Anmeldung!$O$41),Anmeldung!$B$31&amp;": "&amp;Anmeldung!$D$31&amp;", "&amp;Anmeldung!$E$31&amp;" / "&amp;Anmeldung!$G$31&amp;" / "&amp;Anmeldung!$J$31,"")</f>
        <v/>
      </c>
      <c r="GF18" t="str">
        <f>IF(AND(24&lt;&gt;34,Anmeldung!$D$31&lt;&gt;"",Anmeldung!$G$31&lt;&gt;Anmeldung!$G$41,(Anmeldung!$B$31&amp;": "&amp;Anmeldung!$D$31&amp;", "&amp;Anmeldung!$E$31&amp;" / "&amp;Anmeldung!$G$31&amp;" / "&amp;Anmeldung!$J$31)&lt;&gt;Anmeldung!$S$41),Anmeldung!$B$31&amp;": "&amp;Anmeldung!$D$31&amp;", "&amp;Anmeldung!$E$31&amp;" / "&amp;Anmeldung!$G$31&amp;" / "&amp;Anmeldung!$J$31,"")</f>
        <v/>
      </c>
      <c r="GG18" t="str">
        <f>IF(AND(24&lt;&gt;34,Anmeldung!$D$31&lt;&gt;"",(Anmeldung!$B$31&amp;": "&amp;Anmeldung!$D$31&amp;", "&amp;Anmeldung!$E$31&amp;" / "&amp;Anmeldung!$G$31&amp;" / "&amp;Anmeldung!$J$31)&lt;&gt;Anmeldung!$R$41),Anmeldung!$B$31&amp;": "&amp;Anmeldung!$D$31&amp;", "&amp;Anmeldung!$E$31&amp;" / "&amp;Anmeldung!$G$31&amp;" / "&amp;Anmeldung!$J$31,"")</f>
        <v/>
      </c>
      <c r="GH18" t="str">
        <f>IF(AND(23&lt;&gt;33,Anmeldung!$D$31&lt;&gt;"",Anmeldung!$U$31="Ja",Anmeldung!$G$31=Anmeldung!$G$41,Anmeldung!$J$31=Anmeldung!$J$41),Anmeldung!$B$31&amp;": "&amp;Anmeldung!$D$31&amp;", "&amp;Anmeldung!$E$31&amp;" / "&amp;Anmeldung!$G$31&amp;" / "&amp;Anmeldung!$J$31,"")</f>
        <v/>
      </c>
      <c r="GK18" t="str">
        <f>IF(AND(24&lt;&gt;35,Anmeldung!$D$31&lt;&gt;"",Anmeldung!$G$31=Anmeldung!$G$42,Anmeldung!$J$31=Anmeldung!$J$42),Anmeldung!$B$31&amp;": "&amp;Anmeldung!$D$31&amp;", "&amp;Anmeldung!$E$31&amp;" / "&amp;Anmeldung!$G$31&amp;" / "&amp;Anmeldung!$J$31,"")</f>
        <v/>
      </c>
      <c r="GL18" t="str">
        <f>IF(AND(24&lt;&gt;35,Anmeldung!$D$31&lt;&gt;"",Anmeldung!$G$31=Anmeldung!$G$42,Anmeldung!$J$31=Anmeldung!$J$42,(Anmeldung!$B$31&amp;": "&amp;Anmeldung!$D$31&amp;", "&amp;Anmeldung!$E$31&amp;" / "&amp;Anmeldung!$G$31&amp;" / "&amp;Anmeldung!$J$31)&lt;&gt;Anmeldung!$P$42),Anmeldung!$B$31&amp;": "&amp;Anmeldung!$D$31&amp;", "&amp;Anmeldung!$E$31&amp;" / "&amp;Anmeldung!$G$31&amp;" / "&amp;Anmeldung!$J$31,"")</f>
        <v/>
      </c>
      <c r="GM18" t="str">
        <f>IF(AND(24&lt;&gt;35,Anmeldung!$D$31&lt;&gt;"",Anmeldung!$G$31=Anmeldung!$G$42,Anmeldung!$J$31=Anmeldung!$J$42,(Anmeldung!$B$31&amp;": "&amp;Anmeldung!$D$31&amp;", "&amp;Anmeldung!$E$31&amp;" / "&amp;Anmeldung!$G$31&amp;" / "&amp;Anmeldung!$J$31)&lt;&gt;Anmeldung!$O$42),Anmeldung!$B$31&amp;": "&amp;Anmeldung!$D$31&amp;", "&amp;Anmeldung!$E$31&amp;" / "&amp;Anmeldung!$G$31&amp;" / "&amp;Anmeldung!$J$31,"")</f>
        <v/>
      </c>
      <c r="GN18" t="str">
        <f>IF(AND(24&lt;&gt;35,Anmeldung!$D$31&lt;&gt;"",Anmeldung!$G$31&lt;&gt;Anmeldung!$G$42,(Anmeldung!$B$31&amp;": "&amp;Anmeldung!$D$31&amp;", "&amp;Anmeldung!$E$31&amp;" / "&amp;Anmeldung!$G$31&amp;" / "&amp;Anmeldung!$J$31)&lt;&gt;Anmeldung!$S$42),Anmeldung!$B$31&amp;": "&amp;Anmeldung!$D$31&amp;", "&amp;Anmeldung!$E$31&amp;" / "&amp;Anmeldung!$G$31&amp;" / "&amp;Anmeldung!$J$31,"")</f>
        <v/>
      </c>
      <c r="GO18" t="str">
        <f>IF(AND(24&lt;&gt;35,Anmeldung!$D$31&lt;&gt;"",(Anmeldung!$B$31&amp;": "&amp;Anmeldung!$D$31&amp;", "&amp;Anmeldung!$E$31&amp;" / "&amp;Anmeldung!$G$31&amp;" / "&amp;Anmeldung!$J$31)&lt;&gt;Anmeldung!$R$42),Anmeldung!$B$31&amp;": "&amp;Anmeldung!$D$31&amp;", "&amp;Anmeldung!$E$31&amp;" / "&amp;Anmeldung!$G$31&amp;" / "&amp;Anmeldung!$J$31,"")</f>
        <v/>
      </c>
      <c r="GP18" t="str">
        <f>IF(AND(23&lt;&gt;34,Anmeldung!$D$31&lt;&gt;"",Anmeldung!$U$31="Ja",Anmeldung!$G$31=Anmeldung!$G$42,Anmeldung!$J$31=Anmeldung!$J$42),Anmeldung!$B$31&amp;": "&amp;Anmeldung!$D$31&amp;", "&amp;Anmeldung!$E$31&amp;" / "&amp;Anmeldung!$G$31&amp;" / "&amp;Anmeldung!$J$31,"")</f>
        <v/>
      </c>
      <c r="GS18" t="str">
        <f>IF(AND(24&lt;&gt;36,Anmeldung!$D$31&lt;&gt;"",Anmeldung!$G$31=Anmeldung!$G$43,Anmeldung!$J$31=Anmeldung!$J$43),Anmeldung!$B$31&amp;": "&amp;Anmeldung!$D$31&amp;", "&amp;Anmeldung!$E$31&amp;" / "&amp;Anmeldung!$G$31&amp;" / "&amp;Anmeldung!$J$31,"")</f>
        <v/>
      </c>
      <c r="GT18" t="str">
        <f>IF(AND(24&lt;&gt;36,Anmeldung!$D$31&lt;&gt;"",Anmeldung!$G$31=Anmeldung!$G$43,Anmeldung!$J$31=Anmeldung!$J$43,(Anmeldung!$B$31&amp;": "&amp;Anmeldung!$D$31&amp;", "&amp;Anmeldung!$E$31&amp;" / "&amp;Anmeldung!$G$31&amp;" / "&amp;Anmeldung!$J$31)&lt;&gt;Anmeldung!$P$43),Anmeldung!$B$31&amp;": "&amp;Anmeldung!$D$31&amp;", "&amp;Anmeldung!$E$31&amp;" / "&amp;Anmeldung!$G$31&amp;" / "&amp;Anmeldung!$J$31,"")</f>
        <v/>
      </c>
      <c r="GU18" t="str">
        <f>IF(AND(24&lt;&gt;36,Anmeldung!$D$31&lt;&gt;"",Anmeldung!$G$31=Anmeldung!$G$43,Anmeldung!$J$31=Anmeldung!$J$43,(Anmeldung!$B$31&amp;": "&amp;Anmeldung!$D$31&amp;", "&amp;Anmeldung!$E$31&amp;" / "&amp;Anmeldung!$G$31&amp;" / "&amp;Anmeldung!$J$31)&lt;&gt;Anmeldung!$O$43),Anmeldung!$B$31&amp;": "&amp;Anmeldung!$D$31&amp;", "&amp;Anmeldung!$E$31&amp;" / "&amp;Anmeldung!$G$31&amp;" / "&amp;Anmeldung!$J$31,"")</f>
        <v/>
      </c>
      <c r="GV18" t="str">
        <f>IF(AND(24&lt;&gt;36,Anmeldung!$D$31&lt;&gt;"",Anmeldung!$G$31&lt;&gt;Anmeldung!$G$43,(Anmeldung!$B$31&amp;": "&amp;Anmeldung!$D$31&amp;", "&amp;Anmeldung!$E$31&amp;" / "&amp;Anmeldung!$G$31&amp;" / "&amp;Anmeldung!$J$31)&lt;&gt;Anmeldung!$S$43),Anmeldung!$B$31&amp;": "&amp;Anmeldung!$D$31&amp;", "&amp;Anmeldung!$E$31&amp;" / "&amp;Anmeldung!$G$31&amp;" / "&amp;Anmeldung!$J$31,"")</f>
        <v/>
      </c>
      <c r="GW18" t="str">
        <f>IF(AND(24&lt;&gt;36,Anmeldung!$D$31&lt;&gt;"",(Anmeldung!$B$31&amp;": "&amp;Anmeldung!$D$31&amp;", "&amp;Anmeldung!$E$31&amp;" / "&amp;Anmeldung!$G$31&amp;" / "&amp;Anmeldung!$J$31)&lt;&gt;Anmeldung!$R$43),Anmeldung!$B$31&amp;": "&amp;Anmeldung!$D$31&amp;", "&amp;Anmeldung!$E$31&amp;" / "&amp;Anmeldung!$G$31&amp;" / "&amp;Anmeldung!$J$31,"")</f>
        <v/>
      </c>
      <c r="GX18" t="str">
        <f>IF(AND(23&lt;&gt;35,Anmeldung!$D$31&lt;&gt;"",Anmeldung!$U$31="Ja",Anmeldung!$G$31=Anmeldung!$G$43,Anmeldung!$J$31=Anmeldung!$J$43),Anmeldung!$B$31&amp;": "&amp;Anmeldung!$D$31&amp;", "&amp;Anmeldung!$E$31&amp;" / "&amp;Anmeldung!$G$31&amp;" / "&amp;Anmeldung!$J$31,"")</f>
        <v/>
      </c>
      <c r="HA18" t="str">
        <f>IF(AND(24&lt;&gt;37,Anmeldung!$D$31&lt;&gt;"",Anmeldung!$G$31=Anmeldung!$G$44,Anmeldung!$J$31=Anmeldung!$J$44),Anmeldung!$B$31&amp;": "&amp;Anmeldung!$D$31&amp;", "&amp;Anmeldung!$E$31&amp;" / "&amp;Anmeldung!$G$31&amp;" / "&amp;Anmeldung!$J$31,"")</f>
        <v/>
      </c>
      <c r="HB18" t="str">
        <f>IF(AND(24&lt;&gt;37,Anmeldung!$D$31&lt;&gt;"",Anmeldung!$G$31=Anmeldung!$G$44,Anmeldung!$J$31=Anmeldung!$J$44,(Anmeldung!$B$31&amp;": "&amp;Anmeldung!$D$31&amp;", "&amp;Anmeldung!$E$31&amp;" / "&amp;Anmeldung!$G$31&amp;" / "&amp;Anmeldung!$J$31)&lt;&gt;Anmeldung!$P$44),Anmeldung!$B$31&amp;": "&amp;Anmeldung!$D$31&amp;", "&amp;Anmeldung!$E$31&amp;" / "&amp;Anmeldung!$G$31&amp;" / "&amp;Anmeldung!$J$31,"")</f>
        <v/>
      </c>
      <c r="HC18" t="str">
        <f>IF(AND(24&lt;&gt;37,Anmeldung!$D$31&lt;&gt;"",Anmeldung!$G$31=Anmeldung!$G$44,Anmeldung!$J$31=Anmeldung!$J$44,(Anmeldung!$B$31&amp;": "&amp;Anmeldung!$D$31&amp;", "&amp;Anmeldung!$E$31&amp;" / "&amp;Anmeldung!$G$31&amp;" / "&amp;Anmeldung!$J$31)&lt;&gt;Anmeldung!$O$44),Anmeldung!$B$31&amp;": "&amp;Anmeldung!$D$31&amp;", "&amp;Anmeldung!$E$31&amp;" / "&amp;Anmeldung!$G$31&amp;" / "&amp;Anmeldung!$J$31,"")</f>
        <v/>
      </c>
      <c r="HD18" t="str">
        <f>IF(AND(24&lt;&gt;37,Anmeldung!$D$31&lt;&gt;"",Anmeldung!$G$31&lt;&gt;Anmeldung!$G$44,(Anmeldung!$B$31&amp;": "&amp;Anmeldung!$D$31&amp;", "&amp;Anmeldung!$E$31&amp;" / "&amp;Anmeldung!$G$31&amp;" / "&amp;Anmeldung!$J$31)&lt;&gt;Anmeldung!$S$44),Anmeldung!$B$31&amp;": "&amp;Anmeldung!$D$31&amp;", "&amp;Anmeldung!$E$31&amp;" / "&amp;Anmeldung!$G$31&amp;" / "&amp;Anmeldung!$J$31,"")</f>
        <v/>
      </c>
      <c r="HE18" t="str">
        <f>IF(AND(24&lt;&gt;37,Anmeldung!$D$31&lt;&gt;"",(Anmeldung!$B$31&amp;": "&amp;Anmeldung!$D$31&amp;", "&amp;Anmeldung!$E$31&amp;" / "&amp;Anmeldung!$G$31&amp;" / "&amp;Anmeldung!$J$31)&lt;&gt;Anmeldung!$R$44),Anmeldung!$B$31&amp;": "&amp;Anmeldung!$D$31&amp;", "&amp;Anmeldung!$E$31&amp;" / "&amp;Anmeldung!$G$31&amp;" / "&amp;Anmeldung!$J$31,"")</f>
        <v/>
      </c>
      <c r="HF18" t="str">
        <f>IF(AND(23&lt;&gt;36,Anmeldung!$D$31&lt;&gt;"",Anmeldung!$U$31="Ja",Anmeldung!$G$31=Anmeldung!$G$44,Anmeldung!$J$31=Anmeldung!$J$44),Anmeldung!$B$31&amp;": "&amp;Anmeldung!$D$31&amp;", "&amp;Anmeldung!$E$31&amp;" / "&amp;Anmeldung!$G$31&amp;" / "&amp;Anmeldung!$J$31,"")</f>
        <v/>
      </c>
      <c r="HI18" t="str">
        <f>IF(AND(24&lt;&gt;38,Anmeldung!$D$31&lt;&gt;"",Anmeldung!$G$31=Anmeldung!$G$45,Anmeldung!$J$31=Anmeldung!$J$45),Anmeldung!$B$31&amp;": "&amp;Anmeldung!$D$31&amp;", "&amp;Anmeldung!$E$31&amp;" / "&amp;Anmeldung!$G$31&amp;" / "&amp;Anmeldung!$J$31,"")</f>
        <v/>
      </c>
      <c r="HJ18" t="str">
        <f>IF(AND(24&lt;&gt;38,Anmeldung!$D$31&lt;&gt;"",Anmeldung!$G$31=Anmeldung!$G$45,Anmeldung!$J$31=Anmeldung!$J$45,(Anmeldung!$B$31&amp;": "&amp;Anmeldung!$D$31&amp;", "&amp;Anmeldung!$E$31&amp;" / "&amp;Anmeldung!$G$31&amp;" / "&amp;Anmeldung!$J$31)&lt;&gt;Anmeldung!$P$45),Anmeldung!$B$31&amp;": "&amp;Anmeldung!$D$31&amp;", "&amp;Anmeldung!$E$31&amp;" / "&amp;Anmeldung!$G$31&amp;" / "&amp;Anmeldung!$J$31,"")</f>
        <v/>
      </c>
      <c r="HK18" t="str">
        <f>IF(AND(24&lt;&gt;38,Anmeldung!$D$31&lt;&gt;"",Anmeldung!$G$31=Anmeldung!$G$45,Anmeldung!$J$31=Anmeldung!$J$45,(Anmeldung!$B$31&amp;": "&amp;Anmeldung!$D$31&amp;", "&amp;Anmeldung!$E$31&amp;" / "&amp;Anmeldung!$G$31&amp;" / "&amp;Anmeldung!$J$31)&lt;&gt;Anmeldung!$O$45),Anmeldung!$B$31&amp;": "&amp;Anmeldung!$D$31&amp;", "&amp;Anmeldung!$E$31&amp;" / "&amp;Anmeldung!$G$31&amp;" / "&amp;Anmeldung!$J$31,"")</f>
        <v/>
      </c>
      <c r="HL18" t="str">
        <f>IF(AND(24&lt;&gt;38,Anmeldung!$D$31&lt;&gt;"",Anmeldung!$G$31&lt;&gt;Anmeldung!$G$45,(Anmeldung!$B$31&amp;": "&amp;Anmeldung!$D$31&amp;", "&amp;Anmeldung!$E$31&amp;" / "&amp;Anmeldung!$G$31&amp;" / "&amp;Anmeldung!$J$31)&lt;&gt;Anmeldung!$S$45),Anmeldung!$B$31&amp;": "&amp;Anmeldung!$D$31&amp;", "&amp;Anmeldung!$E$31&amp;" / "&amp;Anmeldung!$G$31&amp;" / "&amp;Anmeldung!$J$31,"")</f>
        <v/>
      </c>
      <c r="HM18" t="str">
        <f>IF(AND(24&lt;&gt;38,Anmeldung!$D$31&lt;&gt;"",(Anmeldung!$B$31&amp;": "&amp;Anmeldung!$D$31&amp;", "&amp;Anmeldung!$E$31&amp;" / "&amp;Anmeldung!$G$31&amp;" / "&amp;Anmeldung!$J$31)&lt;&gt;Anmeldung!$R$45),Anmeldung!$B$31&amp;": "&amp;Anmeldung!$D$31&amp;", "&amp;Anmeldung!$E$31&amp;" / "&amp;Anmeldung!$G$31&amp;" / "&amp;Anmeldung!$J$31,"")</f>
        <v/>
      </c>
      <c r="HN18" t="str">
        <f>IF(AND(23&lt;&gt;37,Anmeldung!$D$31&lt;&gt;"",Anmeldung!$U$31="Ja",Anmeldung!$G$31=Anmeldung!$G$45,Anmeldung!$J$31=Anmeldung!$J$45),Anmeldung!$B$31&amp;": "&amp;Anmeldung!$D$31&amp;", "&amp;Anmeldung!$E$31&amp;" / "&amp;Anmeldung!$G$31&amp;" / "&amp;Anmeldung!$J$31,"")</f>
        <v/>
      </c>
      <c r="HQ18" t="str">
        <f>IF(AND(24&lt;&gt;39,Anmeldung!$D$31&lt;&gt;"",Anmeldung!$G$31=Anmeldung!$G$46,Anmeldung!$J$31=Anmeldung!$J$46),Anmeldung!$B$31&amp;": "&amp;Anmeldung!$D$31&amp;", "&amp;Anmeldung!$E$31&amp;" / "&amp;Anmeldung!$G$31&amp;" / "&amp;Anmeldung!$J$31,"")</f>
        <v/>
      </c>
      <c r="HR18" t="str">
        <f>IF(AND(24&lt;&gt;39,Anmeldung!$D$31&lt;&gt;"",Anmeldung!$G$31=Anmeldung!$G$46,Anmeldung!$J$31=Anmeldung!$J$46,(Anmeldung!$B$31&amp;": "&amp;Anmeldung!$D$31&amp;", "&amp;Anmeldung!$E$31&amp;" / "&amp;Anmeldung!$G$31&amp;" / "&amp;Anmeldung!$J$31)&lt;&gt;Anmeldung!$P$46),Anmeldung!$B$31&amp;": "&amp;Anmeldung!$D$31&amp;", "&amp;Anmeldung!$E$31&amp;" / "&amp;Anmeldung!$G$31&amp;" / "&amp;Anmeldung!$J$31,"")</f>
        <v/>
      </c>
      <c r="HS18" t="str">
        <f>IF(AND(24&lt;&gt;39,Anmeldung!$D$31&lt;&gt;"",Anmeldung!$G$31=Anmeldung!$G$46,Anmeldung!$J$31=Anmeldung!$J$46,(Anmeldung!$B$31&amp;": "&amp;Anmeldung!$D$31&amp;", "&amp;Anmeldung!$E$31&amp;" / "&amp;Anmeldung!$G$31&amp;" / "&amp;Anmeldung!$J$31)&lt;&gt;Anmeldung!$O$46),Anmeldung!$B$31&amp;": "&amp;Anmeldung!$D$31&amp;", "&amp;Anmeldung!$E$31&amp;" / "&amp;Anmeldung!$G$31&amp;" / "&amp;Anmeldung!$J$31,"")</f>
        <v/>
      </c>
      <c r="HT18" t="str">
        <f>IF(AND(24&lt;&gt;39,Anmeldung!$D$31&lt;&gt;"",Anmeldung!$G$31&lt;&gt;Anmeldung!$G$46,(Anmeldung!$B$31&amp;": "&amp;Anmeldung!$D$31&amp;", "&amp;Anmeldung!$E$31&amp;" / "&amp;Anmeldung!$G$31&amp;" / "&amp;Anmeldung!$J$31)&lt;&gt;Anmeldung!$S$46),Anmeldung!$B$31&amp;": "&amp;Anmeldung!$D$31&amp;", "&amp;Anmeldung!$E$31&amp;" / "&amp;Anmeldung!$G$31&amp;" / "&amp;Anmeldung!$J$31,"")</f>
        <v/>
      </c>
      <c r="HU18" t="str">
        <f>IF(AND(24&lt;&gt;39,Anmeldung!$D$31&lt;&gt;"",(Anmeldung!$B$31&amp;": "&amp;Anmeldung!$D$31&amp;", "&amp;Anmeldung!$E$31&amp;" / "&amp;Anmeldung!$G$31&amp;" / "&amp;Anmeldung!$J$31)&lt;&gt;Anmeldung!$R$46),Anmeldung!$B$31&amp;": "&amp;Anmeldung!$D$31&amp;", "&amp;Anmeldung!$E$31&amp;" / "&amp;Anmeldung!$G$31&amp;" / "&amp;Anmeldung!$J$31,"")</f>
        <v/>
      </c>
      <c r="HV18" t="str">
        <f>IF(AND(23&lt;&gt;38,Anmeldung!$D$31&lt;&gt;"",Anmeldung!$U$31="Ja",Anmeldung!$G$31=Anmeldung!$G$46,Anmeldung!$J$31=Anmeldung!$J$46),Anmeldung!$B$31&amp;": "&amp;Anmeldung!$D$31&amp;", "&amp;Anmeldung!$E$31&amp;" / "&amp;Anmeldung!$G$31&amp;" / "&amp;Anmeldung!$J$31,"")</f>
        <v/>
      </c>
      <c r="HY18" t="str">
        <f>IF(AND(24&lt;&gt;40,Anmeldung!$D$31&lt;&gt;"",Anmeldung!$G$31=Anmeldung!$G$47,Anmeldung!$J$31=Anmeldung!$J$47),Anmeldung!$B$31&amp;": "&amp;Anmeldung!$D$31&amp;", "&amp;Anmeldung!$E$31&amp;" / "&amp;Anmeldung!$G$31&amp;" / "&amp;Anmeldung!$J$31,"")</f>
        <v/>
      </c>
      <c r="HZ18" t="str">
        <f>IF(AND(24&lt;&gt;40,Anmeldung!$D$31&lt;&gt;"",Anmeldung!$G$31=Anmeldung!$G$47,Anmeldung!$J$31=Anmeldung!$J$47,(Anmeldung!$B$31&amp;": "&amp;Anmeldung!$D$31&amp;", "&amp;Anmeldung!$E$31&amp;" / "&amp;Anmeldung!$G$31&amp;" / "&amp;Anmeldung!$J$31)&lt;&gt;Anmeldung!$P$47),Anmeldung!$B$31&amp;": "&amp;Anmeldung!$D$31&amp;", "&amp;Anmeldung!$E$31&amp;" / "&amp;Anmeldung!$G$31&amp;" / "&amp;Anmeldung!$J$31,"")</f>
        <v/>
      </c>
      <c r="IA18" t="str">
        <f>IF(AND(24&lt;&gt;40,Anmeldung!$D$31&lt;&gt;"",Anmeldung!$G$31=Anmeldung!$G$47,Anmeldung!$J$31=Anmeldung!$J$47,(Anmeldung!$B$31&amp;": "&amp;Anmeldung!$D$31&amp;", "&amp;Anmeldung!$E$31&amp;" / "&amp;Anmeldung!$G$31&amp;" / "&amp;Anmeldung!$J$31)&lt;&gt;Anmeldung!$O$47),Anmeldung!$B$31&amp;": "&amp;Anmeldung!$D$31&amp;", "&amp;Anmeldung!$E$31&amp;" / "&amp;Anmeldung!$G$31&amp;" / "&amp;Anmeldung!$J$31,"")</f>
        <v/>
      </c>
      <c r="IB18" t="str">
        <f>IF(AND(24&lt;&gt;40,Anmeldung!$D$31&lt;&gt;"",Anmeldung!$G$31&lt;&gt;Anmeldung!$G$47,(Anmeldung!$B$31&amp;": "&amp;Anmeldung!$D$31&amp;", "&amp;Anmeldung!$E$31&amp;" / "&amp;Anmeldung!$G$31&amp;" / "&amp;Anmeldung!$J$31)&lt;&gt;Anmeldung!$S$47),Anmeldung!$B$31&amp;": "&amp;Anmeldung!$D$31&amp;", "&amp;Anmeldung!$E$31&amp;" / "&amp;Anmeldung!$G$31&amp;" / "&amp;Anmeldung!$J$31,"")</f>
        <v/>
      </c>
      <c r="IC18" t="str">
        <f>IF(AND(24&lt;&gt;40,Anmeldung!$D$31&lt;&gt;"",(Anmeldung!$B$31&amp;": "&amp;Anmeldung!$D$31&amp;", "&amp;Anmeldung!$E$31&amp;" / "&amp;Anmeldung!$G$31&amp;" / "&amp;Anmeldung!$J$31)&lt;&gt;Anmeldung!$R$47),Anmeldung!$B$31&amp;": "&amp;Anmeldung!$D$31&amp;", "&amp;Anmeldung!$E$31&amp;" / "&amp;Anmeldung!$G$31&amp;" / "&amp;Anmeldung!$J$31,"")</f>
        <v/>
      </c>
      <c r="ID18" t="str">
        <f>IF(AND(23&lt;&gt;39,Anmeldung!$D$31&lt;&gt;"",Anmeldung!$U$31="Ja",Anmeldung!$G$31=Anmeldung!$G$47,Anmeldung!$J$31=Anmeldung!$J$47),Anmeldung!$B$31&amp;": "&amp;Anmeldung!$D$31&amp;", "&amp;Anmeldung!$E$31&amp;" / "&amp;Anmeldung!$G$31&amp;" / "&amp;Anmeldung!$J$31,"")</f>
        <v/>
      </c>
    </row>
    <row r="19" spans="1:238" ht="14.25" customHeight="1" x14ac:dyDescent="0.3">
      <c r="A19" t="str">
        <f>IF(AND(25&lt;&gt;11,Anmeldung!$D$32&lt;&gt;"",Anmeldung!$G$32=Anmeldung!$G$18,Anmeldung!$J$32=Anmeldung!$J$18),Anmeldung!$B$32&amp;": "&amp;Anmeldung!$D$32&amp;", "&amp;Anmeldung!$E$32&amp;" / "&amp;Anmeldung!$G$32&amp;" / "&amp;Anmeldung!$J$32,"")</f>
        <v/>
      </c>
      <c r="B19" t="str">
        <f>IF(AND(25&lt;&gt;11,Anmeldung!$D$32&lt;&gt;"",Anmeldung!$G$32=Anmeldung!$G$18,Anmeldung!$J$32=Anmeldung!$J$18,(Anmeldung!$B$32&amp;": "&amp;Anmeldung!$D$32&amp;", "&amp;Anmeldung!$E$32&amp;" / "&amp;Anmeldung!$G$32&amp;" / "&amp;Anmeldung!$J$32)&lt;&gt;Anmeldung!$P$18),Anmeldung!$B$32&amp;": "&amp;Anmeldung!$D$32&amp;", "&amp;Anmeldung!$E$32&amp;" / "&amp;Anmeldung!$G$32&amp;" / "&amp;Anmeldung!$J$32,"")</f>
        <v/>
      </c>
      <c r="C19" t="str">
        <f>IF(AND(25&lt;&gt;11,Anmeldung!$D$32&lt;&gt;"",Anmeldung!$G$32=Anmeldung!$G$18,Anmeldung!$J$32=Anmeldung!$J$18,(Anmeldung!$B$32&amp;": "&amp;Anmeldung!$D$32&amp;", "&amp;Anmeldung!$E$32&amp;" / "&amp;Anmeldung!$G$32&amp;" / "&amp;Anmeldung!$J$32)&lt;&gt;Anmeldung!$O$18),Anmeldung!$B$32&amp;": "&amp;Anmeldung!$D$32&amp;", "&amp;Anmeldung!$E$32&amp;" / "&amp;Anmeldung!$G$32&amp;" / "&amp;Anmeldung!$J$32,"")</f>
        <v/>
      </c>
      <c r="D19" t="str">
        <f>IF(AND(25&lt;&gt;11,Anmeldung!$D$32&lt;&gt;"",Anmeldung!$G$32&lt;&gt;Anmeldung!$G$18,(Anmeldung!$B$32&amp;": "&amp;Anmeldung!$D$32&amp;", "&amp;Anmeldung!$E$32&amp;" / "&amp;Anmeldung!$G$32&amp;" / "&amp;Anmeldung!$J$32)&lt;&gt;Anmeldung!$S$18),Anmeldung!$B$32&amp;": "&amp;Anmeldung!$D$32&amp;", "&amp;Anmeldung!$E$32&amp;" / "&amp;Anmeldung!$G$32&amp;" / "&amp;Anmeldung!$J$32,"")</f>
        <v/>
      </c>
      <c r="E19" t="str">
        <f>IF(AND(25&lt;&gt;11,Anmeldung!$D$32&lt;&gt;"",(Anmeldung!$B$32&amp;": "&amp;Anmeldung!$D$32&amp;", "&amp;Anmeldung!$E$32&amp;" / "&amp;Anmeldung!$G$32&amp;" / "&amp;Anmeldung!$J$32)&lt;&gt;Anmeldung!$R$18),Anmeldung!$B$32&amp;": "&amp;Anmeldung!$D$32&amp;", "&amp;Anmeldung!$E$32&amp;" / "&amp;Anmeldung!$G$32&amp;" / "&amp;Anmeldung!$J$32,"")</f>
        <v/>
      </c>
      <c r="F19" t="str">
        <f>IF(AND(24&lt;&gt;10,Anmeldung!$D$32&lt;&gt;"",Anmeldung!$U$32="Ja",Anmeldung!$G$32=Anmeldung!$G$18,Anmeldung!$J$32=Anmeldung!$J$18),Anmeldung!$B$32&amp;": "&amp;Anmeldung!$D$32&amp;", "&amp;Anmeldung!$E$32&amp;" / "&amp;Anmeldung!$G$32&amp;" / "&amp;Anmeldung!$J$32,"")</f>
        <v/>
      </c>
      <c r="I19" t="str">
        <f>IF(AND(25&lt;&gt;12,Anmeldung!$D$32&lt;&gt;"",Anmeldung!$G$32=Anmeldung!$G$19,Anmeldung!$J$32=Anmeldung!$J$19),Anmeldung!$B$32&amp;": "&amp;Anmeldung!$D$32&amp;", "&amp;Anmeldung!$E$32&amp;" / "&amp;Anmeldung!$G$32&amp;" / "&amp;Anmeldung!$J$32,"")</f>
        <v/>
      </c>
      <c r="J19" t="str">
        <f>IF(AND(25&lt;&gt;12,Anmeldung!$D$32&lt;&gt;"",Anmeldung!$G$32=Anmeldung!$G$19,Anmeldung!$J$32=Anmeldung!$J$19,(Anmeldung!$B$32&amp;": "&amp;Anmeldung!$D$32&amp;", "&amp;Anmeldung!$E$32&amp;" / "&amp;Anmeldung!$G$32&amp;" / "&amp;Anmeldung!$J$32)&lt;&gt;Anmeldung!$P$19),Anmeldung!$B$32&amp;": "&amp;Anmeldung!$D$32&amp;", "&amp;Anmeldung!$E$32&amp;" / "&amp;Anmeldung!$G$32&amp;" / "&amp;Anmeldung!$J$32,"")</f>
        <v/>
      </c>
      <c r="K19" t="str">
        <f>IF(AND(25&lt;&gt;12,Anmeldung!$D$32&lt;&gt;"",Anmeldung!$G$32=Anmeldung!$G$19,Anmeldung!$J$32=Anmeldung!$J$19,(Anmeldung!$B$32&amp;": "&amp;Anmeldung!$D$32&amp;", "&amp;Anmeldung!$E$32&amp;" / "&amp;Anmeldung!$G$32&amp;" / "&amp;Anmeldung!$J$32)&lt;&gt;Anmeldung!$O$19),Anmeldung!$B$32&amp;": "&amp;Anmeldung!$D$32&amp;", "&amp;Anmeldung!$E$32&amp;" / "&amp;Anmeldung!$G$32&amp;" / "&amp;Anmeldung!$J$32,"")</f>
        <v/>
      </c>
      <c r="L19" t="str">
        <f>IF(AND(25&lt;&gt;12,Anmeldung!$D$32&lt;&gt;"",Anmeldung!$G$32&lt;&gt;Anmeldung!$G$19,(Anmeldung!$B$32&amp;": "&amp;Anmeldung!$D$32&amp;", "&amp;Anmeldung!$E$32&amp;" / "&amp;Anmeldung!$G$32&amp;" / "&amp;Anmeldung!$J$32)&lt;&gt;Anmeldung!$S$19),Anmeldung!$B$32&amp;": "&amp;Anmeldung!$D$32&amp;", "&amp;Anmeldung!$E$32&amp;" / "&amp;Anmeldung!$G$32&amp;" / "&amp;Anmeldung!$J$32,"")</f>
        <v/>
      </c>
      <c r="M19" t="str">
        <f>IF(AND(25&lt;&gt;12,Anmeldung!$D$32&lt;&gt;"",(Anmeldung!$B$32&amp;": "&amp;Anmeldung!$D$32&amp;", "&amp;Anmeldung!$E$32&amp;" / "&amp;Anmeldung!$G$32&amp;" / "&amp;Anmeldung!$J$32)&lt;&gt;Anmeldung!$R$19),Anmeldung!$B$32&amp;": "&amp;Anmeldung!$D$32&amp;", "&amp;Anmeldung!$E$32&amp;" / "&amp;Anmeldung!$G$32&amp;" / "&amp;Anmeldung!$J$32,"")</f>
        <v/>
      </c>
      <c r="N19" t="str">
        <f>IF(AND(24&lt;&gt;11,Anmeldung!$D$32&lt;&gt;"",Anmeldung!$U$32="Ja",Anmeldung!$G$32=Anmeldung!$G$19,Anmeldung!$J$32=Anmeldung!$J$19),Anmeldung!$B$32&amp;": "&amp;Anmeldung!$D$32&amp;", "&amp;Anmeldung!$E$32&amp;" / "&amp;Anmeldung!$G$32&amp;" / "&amp;Anmeldung!$J$32,"")</f>
        <v/>
      </c>
      <c r="Q19" t="str">
        <f>IF(AND(25&lt;&gt;13,Anmeldung!$D$32&lt;&gt;"",Anmeldung!$G$32=Anmeldung!$G$20,Anmeldung!$J$32=Anmeldung!$J$20),Anmeldung!$B$32&amp;": "&amp;Anmeldung!$D$32&amp;", "&amp;Anmeldung!$E$32&amp;" / "&amp;Anmeldung!$G$32&amp;" / "&amp;Anmeldung!$J$32,"")</f>
        <v/>
      </c>
      <c r="R19" t="str">
        <f>IF(AND(25&lt;&gt;13,Anmeldung!$D$32&lt;&gt;"",Anmeldung!$G$32=Anmeldung!$G$20,Anmeldung!$J$32=Anmeldung!$J$20,(Anmeldung!$B$32&amp;": "&amp;Anmeldung!$D$32&amp;", "&amp;Anmeldung!$E$32&amp;" / "&amp;Anmeldung!$G$32&amp;" / "&amp;Anmeldung!$J$32)&lt;&gt;Anmeldung!$P$20),Anmeldung!$B$32&amp;": "&amp;Anmeldung!$D$32&amp;", "&amp;Anmeldung!$E$32&amp;" / "&amp;Anmeldung!$G$32&amp;" / "&amp;Anmeldung!$J$32,"")</f>
        <v/>
      </c>
      <c r="S19" t="str">
        <f>IF(AND(25&lt;&gt;13,Anmeldung!$D$32&lt;&gt;"",Anmeldung!$G$32=Anmeldung!$G$20,Anmeldung!$J$32=Anmeldung!$J$20,(Anmeldung!$B$32&amp;": "&amp;Anmeldung!$D$32&amp;", "&amp;Anmeldung!$E$32&amp;" / "&amp;Anmeldung!$G$32&amp;" / "&amp;Anmeldung!$J$32)&lt;&gt;Anmeldung!$O$20),Anmeldung!$B$32&amp;": "&amp;Anmeldung!$D$32&amp;", "&amp;Anmeldung!$E$32&amp;" / "&amp;Anmeldung!$G$32&amp;" / "&amp;Anmeldung!$J$32,"")</f>
        <v/>
      </c>
      <c r="T19" t="str">
        <f>IF(AND(25&lt;&gt;13,Anmeldung!$D$32&lt;&gt;"",Anmeldung!$G$32&lt;&gt;Anmeldung!$G$20,(Anmeldung!$B$32&amp;": "&amp;Anmeldung!$D$32&amp;", "&amp;Anmeldung!$E$32&amp;" / "&amp;Anmeldung!$G$32&amp;" / "&amp;Anmeldung!$J$32)&lt;&gt;Anmeldung!$S$20),Anmeldung!$B$32&amp;": "&amp;Anmeldung!$D$32&amp;", "&amp;Anmeldung!$E$32&amp;" / "&amp;Anmeldung!$G$32&amp;" / "&amp;Anmeldung!$J$32,"")</f>
        <v/>
      </c>
      <c r="U19" t="str">
        <f>IF(AND(25&lt;&gt;13,Anmeldung!$D$32&lt;&gt;"",(Anmeldung!$B$32&amp;": "&amp;Anmeldung!$D$32&amp;", "&amp;Anmeldung!$E$32&amp;" / "&amp;Anmeldung!$G$32&amp;" / "&amp;Anmeldung!$J$32)&lt;&gt;Anmeldung!$R$20),Anmeldung!$B$32&amp;": "&amp;Anmeldung!$D$32&amp;", "&amp;Anmeldung!$E$32&amp;" / "&amp;Anmeldung!$G$32&amp;" / "&amp;Anmeldung!$J$32,"")</f>
        <v/>
      </c>
      <c r="V19" t="str">
        <f>IF(AND(24&lt;&gt;12,Anmeldung!$D$32&lt;&gt;"",Anmeldung!$U$32="Ja",Anmeldung!$G$32=Anmeldung!$G$20,Anmeldung!$J$32=Anmeldung!$J$20),Anmeldung!$B$32&amp;": "&amp;Anmeldung!$D$32&amp;", "&amp;Anmeldung!$E$32&amp;" / "&amp;Anmeldung!$G$32&amp;" / "&amp;Anmeldung!$J$32,"")</f>
        <v/>
      </c>
      <c r="Y19" t="str">
        <f>IF(AND(25&lt;&gt;14,Anmeldung!$D$32&lt;&gt;"",Anmeldung!$G$32=Anmeldung!$G$21,Anmeldung!$J$32=Anmeldung!$J$21),Anmeldung!$B$32&amp;": "&amp;Anmeldung!$D$32&amp;", "&amp;Anmeldung!$E$32&amp;" / "&amp;Anmeldung!$G$32&amp;" / "&amp;Anmeldung!$J$32,"")</f>
        <v/>
      </c>
      <c r="Z19" t="str">
        <f>IF(AND(25&lt;&gt;14,Anmeldung!$D$32&lt;&gt;"",Anmeldung!$G$32=Anmeldung!$G$21,Anmeldung!$J$32=Anmeldung!$J$21,(Anmeldung!$B$32&amp;": "&amp;Anmeldung!$D$32&amp;", "&amp;Anmeldung!$E$32&amp;" / "&amp;Anmeldung!$G$32&amp;" / "&amp;Anmeldung!$J$32)&lt;&gt;Anmeldung!$P$21),Anmeldung!$B$32&amp;": "&amp;Anmeldung!$D$32&amp;", "&amp;Anmeldung!$E$32&amp;" / "&amp;Anmeldung!$G$32&amp;" / "&amp;Anmeldung!$J$32,"")</f>
        <v/>
      </c>
      <c r="AA19" t="str">
        <f>IF(AND(25&lt;&gt;14,Anmeldung!$D$32&lt;&gt;"",Anmeldung!$G$32=Anmeldung!$G$21,Anmeldung!$J$32=Anmeldung!$J$21,(Anmeldung!$B$32&amp;": "&amp;Anmeldung!$D$32&amp;", "&amp;Anmeldung!$E$32&amp;" / "&amp;Anmeldung!$G$32&amp;" / "&amp;Anmeldung!$J$32)&lt;&gt;Anmeldung!$O$21),Anmeldung!$B$32&amp;": "&amp;Anmeldung!$D$32&amp;", "&amp;Anmeldung!$E$32&amp;" / "&amp;Anmeldung!$G$32&amp;" / "&amp;Anmeldung!$J$32,"")</f>
        <v/>
      </c>
      <c r="AB19" t="str">
        <f>IF(AND(25&lt;&gt;14,Anmeldung!$D$32&lt;&gt;"",Anmeldung!$G$32&lt;&gt;Anmeldung!$G$21,(Anmeldung!$B$32&amp;": "&amp;Anmeldung!$D$32&amp;", "&amp;Anmeldung!$E$32&amp;" / "&amp;Anmeldung!$G$32&amp;" / "&amp;Anmeldung!$J$32)&lt;&gt;Anmeldung!$S$21),Anmeldung!$B$32&amp;": "&amp;Anmeldung!$D$32&amp;", "&amp;Anmeldung!$E$32&amp;" / "&amp;Anmeldung!$G$32&amp;" / "&amp;Anmeldung!$J$32,"")</f>
        <v/>
      </c>
      <c r="AC19" t="str">
        <f>IF(AND(25&lt;&gt;14,Anmeldung!$D$32&lt;&gt;"",(Anmeldung!$B$32&amp;": "&amp;Anmeldung!$D$32&amp;", "&amp;Anmeldung!$E$32&amp;" / "&amp;Anmeldung!$G$32&amp;" / "&amp;Anmeldung!$J$32)&lt;&gt;Anmeldung!$R$21),Anmeldung!$B$32&amp;": "&amp;Anmeldung!$D$32&amp;", "&amp;Anmeldung!$E$32&amp;" / "&amp;Anmeldung!$G$32&amp;" / "&amp;Anmeldung!$J$32,"")</f>
        <v/>
      </c>
      <c r="AD19" t="str">
        <f>IF(AND(24&lt;&gt;13,Anmeldung!$D$32&lt;&gt;"",Anmeldung!$U$32="Ja",Anmeldung!$G$32=Anmeldung!$G$21,Anmeldung!$J$32=Anmeldung!$J$21),Anmeldung!$B$32&amp;": "&amp;Anmeldung!$D$32&amp;", "&amp;Anmeldung!$E$32&amp;" / "&amp;Anmeldung!$G$32&amp;" / "&amp;Anmeldung!$J$32,"")</f>
        <v/>
      </c>
      <c r="AG19" t="str">
        <f>IF(AND(25&lt;&gt;15,Anmeldung!$D$32&lt;&gt;"",Anmeldung!$G$32=Anmeldung!$G$22,Anmeldung!$J$32=Anmeldung!$J$22),Anmeldung!$B$32&amp;": "&amp;Anmeldung!$D$32&amp;", "&amp;Anmeldung!$E$32&amp;" / "&amp;Anmeldung!$G$32&amp;" / "&amp;Anmeldung!$J$32,"")</f>
        <v/>
      </c>
      <c r="AH19" t="str">
        <f>IF(AND(25&lt;&gt;15,Anmeldung!$D$32&lt;&gt;"",Anmeldung!$G$32=Anmeldung!$G$22,Anmeldung!$J$32=Anmeldung!$J$22,(Anmeldung!$B$32&amp;": "&amp;Anmeldung!$D$32&amp;", "&amp;Anmeldung!$E$32&amp;" / "&amp;Anmeldung!$G$32&amp;" / "&amp;Anmeldung!$J$32)&lt;&gt;Anmeldung!$P$22),Anmeldung!$B$32&amp;": "&amp;Anmeldung!$D$32&amp;", "&amp;Anmeldung!$E$32&amp;" / "&amp;Anmeldung!$G$32&amp;" / "&amp;Anmeldung!$J$32,"")</f>
        <v/>
      </c>
      <c r="AI19" t="str">
        <f>IF(AND(25&lt;&gt;15,Anmeldung!$D$32&lt;&gt;"",Anmeldung!$G$32=Anmeldung!$G$22,Anmeldung!$J$32=Anmeldung!$J$22,(Anmeldung!$B$32&amp;": "&amp;Anmeldung!$D$32&amp;", "&amp;Anmeldung!$E$32&amp;" / "&amp;Anmeldung!$G$32&amp;" / "&amp;Anmeldung!$J$32)&lt;&gt;Anmeldung!$O$22),Anmeldung!$B$32&amp;": "&amp;Anmeldung!$D$32&amp;", "&amp;Anmeldung!$E$32&amp;" / "&amp;Anmeldung!$G$32&amp;" / "&amp;Anmeldung!$J$32,"")</f>
        <v/>
      </c>
      <c r="AJ19" t="str">
        <f>IF(AND(25&lt;&gt;15,Anmeldung!$D$32&lt;&gt;"",Anmeldung!$G$32&lt;&gt;Anmeldung!$G$22,(Anmeldung!$B$32&amp;": "&amp;Anmeldung!$D$32&amp;", "&amp;Anmeldung!$E$32&amp;" / "&amp;Anmeldung!$G$32&amp;" / "&amp;Anmeldung!$J$32)&lt;&gt;Anmeldung!$S$22),Anmeldung!$B$32&amp;": "&amp;Anmeldung!$D$32&amp;", "&amp;Anmeldung!$E$32&amp;" / "&amp;Anmeldung!$G$32&amp;" / "&amp;Anmeldung!$J$32,"")</f>
        <v/>
      </c>
      <c r="AK19" t="str">
        <f>IF(AND(25&lt;&gt;15,Anmeldung!$D$32&lt;&gt;"",(Anmeldung!$B$32&amp;": "&amp;Anmeldung!$D$32&amp;", "&amp;Anmeldung!$E$32&amp;" / "&amp;Anmeldung!$G$32&amp;" / "&amp;Anmeldung!$J$32)&lt;&gt;Anmeldung!$R$22),Anmeldung!$B$32&amp;": "&amp;Anmeldung!$D$32&amp;", "&amp;Anmeldung!$E$32&amp;" / "&amp;Anmeldung!$G$32&amp;" / "&amp;Anmeldung!$J$32,"")</f>
        <v/>
      </c>
      <c r="AL19" t="str">
        <f>IF(AND(24&lt;&gt;14,Anmeldung!$D$32&lt;&gt;"",Anmeldung!$U$32="Ja",Anmeldung!$G$32=Anmeldung!$G$22,Anmeldung!$J$32=Anmeldung!$J$22),Anmeldung!$B$32&amp;": "&amp;Anmeldung!$D$32&amp;", "&amp;Anmeldung!$E$32&amp;" / "&amp;Anmeldung!$G$32&amp;" / "&amp;Anmeldung!$J$32,"")</f>
        <v/>
      </c>
      <c r="AO19" t="str">
        <f>IF(AND(25&lt;&gt;16,Anmeldung!$D$32&lt;&gt;"",Anmeldung!$G$32=Anmeldung!$G$23,Anmeldung!$J$32=Anmeldung!$J$23),Anmeldung!$B$32&amp;": "&amp;Anmeldung!$D$32&amp;", "&amp;Anmeldung!$E$32&amp;" / "&amp;Anmeldung!$G$32&amp;" / "&amp;Anmeldung!$J$32,"")</f>
        <v/>
      </c>
      <c r="AP19" t="str">
        <f>IF(AND(25&lt;&gt;16,Anmeldung!$D$32&lt;&gt;"",Anmeldung!$G$32=Anmeldung!$G$23,Anmeldung!$J$32=Anmeldung!$J$23,(Anmeldung!$B$32&amp;": "&amp;Anmeldung!$D$32&amp;", "&amp;Anmeldung!$E$32&amp;" / "&amp;Anmeldung!$G$32&amp;" / "&amp;Anmeldung!$J$32)&lt;&gt;Anmeldung!$P$23),Anmeldung!$B$32&amp;": "&amp;Anmeldung!$D$32&amp;", "&amp;Anmeldung!$E$32&amp;" / "&amp;Anmeldung!$G$32&amp;" / "&amp;Anmeldung!$J$32,"")</f>
        <v/>
      </c>
      <c r="AQ19" t="str">
        <f>IF(AND(25&lt;&gt;16,Anmeldung!$D$32&lt;&gt;"",Anmeldung!$G$32=Anmeldung!$G$23,Anmeldung!$J$32=Anmeldung!$J$23,(Anmeldung!$B$32&amp;": "&amp;Anmeldung!$D$32&amp;", "&amp;Anmeldung!$E$32&amp;" / "&amp;Anmeldung!$G$32&amp;" / "&amp;Anmeldung!$J$32)&lt;&gt;Anmeldung!$O$23),Anmeldung!$B$32&amp;": "&amp;Anmeldung!$D$32&amp;", "&amp;Anmeldung!$E$32&amp;" / "&amp;Anmeldung!$G$32&amp;" / "&amp;Anmeldung!$J$32,"")</f>
        <v/>
      </c>
      <c r="AR19" t="str">
        <f>IF(AND(25&lt;&gt;16,Anmeldung!$D$32&lt;&gt;"",Anmeldung!$G$32&lt;&gt;Anmeldung!$G$23,(Anmeldung!$B$32&amp;": "&amp;Anmeldung!$D$32&amp;", "&amp;Anmeldung!$E$32&amp;" / "&amp;Anmeldung!$G$32&amp;" / "&amp;Anmeldung!$J$32)&lt;&gt;Anmeldung!$S$23),Anmeldung!$B$32&amp;": "&amp;Anmeldung!$D$32&amp;", "&amp;Anmeldung!$E$32&amp;" / "&amp;Anmeldung!$G$32&amp;" / "&amp;Anmeldung!$J$32,"")</f>
        <v/>
      </c>
      <c r="AS19" t="str">
        <f>IF(AND(25&lt;&gt;16,Anmeldung!$D$32&lt;&gt;"",(Anmeldung!$B$32&amp;": "&amp;Anmeldung!$D$32&amp;", "&amp;Anmeldung!$E$32&amp;" / "&amp;Anmeldung!$G$32&amp;" / "&amp;Anmeldung!$J$32)&lt;&gt;Anmeldung!$R$23),Anmeldung!$B$32&amp;": "&amp;Anmeldung!$D$32&amp;", "&amp;Anmeldung!$E$32&amp;" / "&amp;Anmeldung!$G$32&amp;" / "&amp;Anmeldung!$J$32,"")</f>
        <v/>
      </c>
      <c r="AT19" t="str">
        <f>IF(AND(24&lt;&gt;15,Anmeldung!$D$32&lt;&gt;"",Anmeldung!$U$32="Ja",Anmeldung!$G$32=Anmeldung!$G$23,Anmeldung!$J$32=Anmeldung!$J$23),Anmeldung!$B$32&amp;": "&amp;Anmeldung!$D$32&amp;", "&amp;Anmeldung!$E$32&amp;" / "&amp;Anmeldung!$G$32&amp;" / "&amp;Anmeldung!$J$32,"")</f>
        <v/>
      </c>
      <c r="AW19" t="str">
        <f>IF(AND(25&lt;&gt;17,Anmeldung!$D$32&lt;&gt;"",Anmeldung!$G$32=Anmeldung!$G$24,Anmeldung!$J$32=Anmeldung!$J$24),Anmeldung!$B$32&amp;": "&amp;Anmeldung!$D$32&amp;", "&amp;Anmeldung!$E$32&amp;" / "&amp;Anmeldung!$G$32&amp;" / "&amp;Anmeldung!$J$32,"")</f>
        <v/>
      </c>
      <c r="AX19" t="str">
        <f>IF(AND(25&lt;&gt;17,Anmeldung!$D$32&lt;&gt;"",Anmeldung!$G$32=Anmeldung!$G$24,Anmeldung!$J$32=Anmeldung!$J$24,(Anmeldung!$B$32&amp;": "&amp;Anmeldung!$D$32&amp;", "&amp;Anmeldung!$E$32&amp;" / "&amp;Anmeldung!$G$32&amp;" / "&amp;Anmeldung!$J$32)&lt;&gt;Anmeldung!$P$24),Anmeldung!$B$32&amp;": "&amp;Anmeldung!$D$32&amp;", "&amp;Anmeldung!$E$32&amp;" / "&amp;Anmeldung!$G$32&amp;" / "&amp;Anmeldung!$J$32,"")</f>
        <v/>
      </c>
      <c r="AY19" t="str">
        <f>IF(AND(25&lt;&gt;17,Anmeldung!$D$32&lt;&gt;"",Anmeldung!$G$32=Anmeldung!$G$24,Anmeldung!$J$32=Anmeldung!$J$24,(Anmeldung!$B$32&amp;": "&amp;Anmeldung!$D$32&amp;", "&amp;Anmeldung!$E$32&amp;" / "&amp;Anmeldung!$G$32&amp;" / "&amp;Anmeldung!$J$32)&lt;&gt;Anmeldung!$O$24),Anmeldung!$B$32&amp;": "&amp;Anmeldung!$D$32&amp;", "&amp;Anmeldung!$E$32&amp;" / "&amp;Anmeldung!$G$32&amp;" / "&amp;Anmeldung!$J$32,"")</f>
        <v/>
      </c>
      <c r="AZ19" t="str">
        <f>IF(AND(25&lt;&gt;17,Anmeldung!$D$32&lt;&gt;"",Anmeldung!$G$32&lt;&gt;Anmeldung!$G$24,(Anmeldung!$B$32&amp;": "&amp;Anmeldung!$D$32&amp;", "&amp;Anmeldung!$E$32&amp;" / "&amp;Anmeldung!$G$32&amp;" / "&amp;Anmeldung!$J$32)&lt;&gt;Anmeldung!$S$24),Anmeldung!$B$32&amp;": "&amp;Anmeldung!$D$32&amp;", "&amp;Anmeldung!$E$32&amp;" / "&amp;Anmeldung!$G$32&amp;" / "&amp;Anmeldung!$J$32,"")</f>
        <v/>
      </c>
      <c r="BA19" t="str">
        <f>IF(AND(25&lt;&gt;17,Anmeldung!$D$32&lt;&gt;"",(Anmeldung!$B$32&amp;": "&amp;Anmeldung!$D$32&amp;", "&amp;Anmeldung!$E$32&amp;" / "&amp;Anmeldung!$G$32&amp;" / "&amp;Anmeldung!$J$32)&lt;&gt;Anmeldung!$R$24),Anmeldung!$B$32&amp;": "&amp;Anmeldung!$D$32&amp;", "&amp;Anmeldung!$E$32&amp;" / "&amp;Anmeldung!$G$32&amp;" / "&amp;Anmeldung!$J$32,"")</f>
        <v/>
      </c>
      <c r="BB19" t="str">
        <f>IF(AND(24&lt;&gt;16,Anmeldung!$D$32&lt;&gt;"",Anmeldung!$U$32="Ja",Anmeldung!$G$32=Anmeldung!$G$24,Anmeldung!$J$32=Anmeldung!$J$24),Anmeldung!$B$32&amp;": "&amp;Anmeldung!$D$32&amp;", "&amp;Anmeldung!$E$32&amp;" / "&amp;Anmeldung!$G$32&amp;" / "&amp;Anmeldung!$J$32,"")</f>
        <v/>
      </c>
      <c r="BE19" t="str">
        <f>IF(AND(25&lt;&gt;18,Anmeldung!$D$32&lt;&gt;"",Anmeldung!$G$32=Anmeldung!$G$25,Anmeldung!$J$32=Anmeldung!$J$25),Anmeldung!$B$32&amp;": "&amp;Anmeldung!$D$32&amp;", "&amp;Anmeldung!$E$32&amp;" / "&amp;Anmeldung!$G$32&amp;" / "&amp;Anmeldung!$J$32,"")</f>
        <v/>
      </c>
      <c r="BF19" t="str">
        <f>IF(AND(25&lt;&gt;18,Anmeldung!$D$32&lt;&gt;"",Anmeldung!$G$32=Anmeldung!$G$25,Anmeldung!$J$32=Anmeldung!$J$25,(Anmeldung!$B$32&amp;": "&amp;Anmeldung!$D$32&amp;", "&amp;Anmeldung!$E$32&amp;" / "&amp;Anmeldung!$G$32&amp;" / "&amp;Anmeldung!$J$32)&lt;&gt;Anmeldung!$P$25),Anmeldung!$B$32&amp;": "&amp;Anmeldung!$D$32&amp;", "&amp;Anmeldung!$E$32&amp;" / "&amp;Anmeldung!$G$32&amp;" / "&amp;Anmeldung!$J$32,"")</f>
        <v/>
      </c>
      <c r="BG19" t="str">
        <f>IF(AND(25&lt;&gt;18,Anmeldung!$D$32&lt;&gt;"",Anmeldung!$G$32=Anmeldung!$G$25,Anmeldung!$J$32=Anmeldung!$J$25,(Anmeldung!$B$32&amp;": "&amp;Anmeldung!$D$32&amp;", "&amp;Anmeldung!$E$32&amp;" / "&amp;Anmeldung!$G$32&amp;" / "&amp;Anmeldung!$J$32)&lt;&gt;Anmeldung!$O$25),Anmeldung!$B$32&amp;": "&amp;Anmeldung!$D$32&amp;", "&amp;Anmeldung!$E$32&amp;" / "&amp;Anmeldung!$G$32&amp;" / "&amp;Anmeldung!$J$32,"")</f>
        <v/>
      </c>
      <c r="BH19" t="str">
        <f>IF(AND(25&lt;&gt;18,Anmeldung!$D$32&lt;&gt;"",Anmeldung!$G$32&lt;&gt;Anmeldung!$G$25,(Anmeldung!$B$32&amp;": "&amp;Anmeldung!$D$32&amp;", "&amp;Anmeldung!$E$32&amp;" / "&amp;Anmeldung!$G$32&amp;" / "&amp;Anmeldung!$J$32)&lt;&gt;Anmeldung!$S$25),Anmeldung!$B$32&amp;": "&amp;Anmeldung!$D$32&amp;", "&amp;Anmeldung!$E$32&amp;" / "&amp;Anmeldung!$G$32&amp;" / "&amp;Anmeldung!$J$32,"")</f>
        <v/>
      </c>
      <c r="BI19" t="str">
        <f>IF(AND(25&lt;&gt;18,Anmeldung!$D$32&lt;&gt;"",(Anmeldung!$B$32&amp;": "&amp;Anmeldung!$D$32&amp;", "&amp;Anmeldung!$E$32&amp;" / "&amp;Anmeldung!$G$32&amp;" / "&amp;Anmeldung!$J$32)&lt;&gt;Anmeldung!$R$25),Anmeldung!$B$32&amp;": "&amp;Anmeldung!$D$32&amp;", "&amp;Anmeldung!$E$32&amp;" / "&amp;Anmeldung!$G$32&amp;" / "&amp;Anmeldung!$J$32,"")</f>
        <v/>
      </c>
      <c r="BJ19" t="str">
        <f>IF(AND(24&lt;&gt;17,Anmeldung!$D$32&lt;&gt;"",Anmeldung!$U$32="Ja",Anmeldung!$G$32=Anmeldung!$G$25,Anmeldung!$J$32=Anmeldung!$J$25),Anmeldung!$B$32&amp;": "&amp;Anmeldung!$D$32&amp;", "&amp;Anmeldung!$E$32&amp;" / "&amp;Anmeldung!$G$32&amp;" / "&amp;Anmeldung!$J$32,"")</f>
        <v/>
      </c>
      <c r="BM19" t="str">
        <f>IF(AND(25&lt;&gt;19,Anmeldung!$D$32&lt;&gt;"",Anmeldung!$G$32=Anmeldung!$G$26,Anmeldung!$J$32=Anmeldung!$J$26),Anmeldung!$B$32&amp;": "&amp;Anmeldung!$D$32&amp;", "&amp;Anmeldung!$E$32&amp;" / "&amp;Anmeldung!$G$32&amp;" / "&amp;Anmeldung!$J$32,"")</f>
        <v/>
      </c>
      <c r="BN19" t="str">
        <f>IF(AND(25&lt;&gt;19,Anmeldung!$D$32&lt;&gt;"",Anmeldung!$G$32=Anmeldung!$G$26,Anmeldung!$J$32=Anmeldung!$J$26,(Anmeldung!$B$32&amp;": "&amp;Anmeldung!$D$32&amp;", "&amp;Anmeldung!$E$32&amp;" / "&amp;Anmeldung!$G$32&amp;" / "&amp;Anmeldung!$J$32)&lt;&gt;Anmeldung!$P$26),Anmeldung!$B$32&amp;": "&amp;Anmeldung!$D$32&amp;", "&amp;Anmeldung!$E$32&amp;" / "&amp;Anmeldung!$G$32&amp;" / "&amp;Anmeldung!$J$32,"")</f>
        <v/>
      </c>
      <c r="BO19" t="str">
        <f>IF(AND(25&lt;&gt;19,Anmeldung!$D$32&lt;&gt;"",Anmeldung!$G$32=Anmeldung!$G$26,Anmeldung!$J$32=Anmeldung!$J$26,(Anmeldung!$B$32&amp;": "&amp;Anmeldung!$D$32&amp;", "&amp;Anmeldung!$E$32&amp;" / "&amp;Anmeldung!$G$32&amp;" / "&amp;Anmeldung!$J$32)&lt;&gt;Anmeldung!$O$26),Anmeldung!$B$32&amp;": "&amp;Anmeldung!$D$32&amp;", "&amp;Anmeldung!$E$32&amp;" / "&amp;Anmeldung!$G$32&amp;" / "&amp;Anmeldung!$J$32,"")</f>
        <v/>
      </c>
      <c r="BP19" t="str">
        <f>IF(AND(25&lt;&gt;19,Anmeldung!$D$32&lt;&gt;"",Anmeldung!$G$32&lt;&gt;Anmeldung!$G$26,(Anmeldung!$B$32&amp;": "&amp;Anmeldung!$D$32&amp;", "&amp;Anmeldung!$E$32&amp;" / "&amp;Anmeldung!$G$32&amp;" / "&amp;Anmeldung!$J$32)&lt;&gt;Anmeldung!$S$26),Anmeldung!$B$32&amp;": "&amp;Anmeldung!$D$32&amp;", "&amp;Anmeldung!$E$32&amp;" / "&amp;Anmeldung!$G$32&amp;" / "&amp;Anmeldung!$J$32,"")</f>
        <v/>
      </c>
      <c r="BQ19" t="str">
        <f>IF(AND(25&lt;&gt;19,Anmeldung!$D$32&lt;&gt;"",(Anmeldung!$B$32&amp;": "&amp;Anmeldung!$D$32&amp;", "&amp;Anmeldung!$E$32&amp;" / "&amp;Anmeldung!$G$32&amp;" / "&amp;Anmeldung!$J$32)&lt;&gt;Anmeldung!$R$26),Anmeldung!$B$32&amp;": "&amp;Anmeldung!$D$32&amp;", "&amp;Anmeldung!$E$32&amp;" / "&amp;Anmeldung!$G$32&amp;" / "&amp;Anmeldung!$J$32,"")</f>
        <v/>
      </c>
      <c r="BR19" t="str">
        <f>IF(AND(24&lt;&gt;18,Anmeldung!$D$32&lt;&gt;"",Anmeldung!$U$32="Ja",Anmeldung!$G$32=Anmeldung!$G$26,Anmeldung!$J$32=Anmeldung!$J$26),Anmeldung!$B$32&amp;": "&amp;Anmeldung!$D$32&amp;", "&amp;Anmeldung!$E$32&amp;" / "&amp;Anmeldung!$G$32&amp;" / "&amp;Anmeldung!$J$32,"")</f>
        <v/>
      </c>
      <c r="BU19" t="str">
        <f>IF(AND(25&lt;&gt;20,Anmeldung!$D$32&lt;&gt;"",Anmeldung!$G$32=Anmeldung!$G$27,Anmeldung!$J$32=Anmeldung!$J$27),Anmeldung!$B$32&amp;": "&amp;Anmeldung!$D$32&amp;", "&amp;Anmeldung!$E$32&amp;" / "&amp;Anmeldung!$G$32&amp;" / "&amp;Anmeldung!$J$32,"")</f>
        <v/>
      </c>
      <c r="BV19" t="str">
        <f>IF(AND(25&lt;&gt;20,Anmeldung!$D$32&lt;&gt;"",Anmeldung!$G$32=Anmeldung!$G$27,Anmeldung!$J$32=Anmeldung!$J$27,(Anmeldung!$B$32&amp;": "&amp;Anmeldung!$D$32&amp;", "&amp;Anmeldung!$E$32&amp;" / "&amp;Anmeldung!$G$32&amp;" / "&amp;Anmeldung!$J$32)&lt;&gt;Anmeldung!$P$27),Anmeldung!$B$32&amp;": "&amp;Anmeldung!$D$32&amp;", "&amp;Anmeldung!$E$32&amp;" / "&amp;Anmeldung!$G$32&amp;" / "&amp;Anmeldung!$J$32,"")</f>
        <v/>
      </c>
      <c r="BW19" t="str">
        <f>IF(AND(25&lt;&gt;20,Anmeldung!$D$32&lt;&gt;"",Anmeldung!$G$32=Anmeldung!$G$27,Anmeldung!$J$32=Anmeldung!$J$27,(Anmeldung!$B$32&amp;": "&amp;Anmeldung!$D$32&amp;", "&amp;Anmeldung!$E$32&amp;" / "&amp;Anmeldung!$G$32&amp;" / "&amp;Anmeldung!$J$32)&lt;&gt;Anmeldung!$O$27),Anmeldung!$B$32&amp;": "&amp;Anmeldung!$D$32&amp;", "&amp;Anmeldung!$E$32&amp;" / "&amp;Anmeldung!$G$32&amp;" / "&amp;Anmeldung!$J$32,"")</f>
        <v/>
      </c>
      <c r="BX19" t="str">
        <f>IF(AND(25&lt;&gt;20,Anmeldung!$D$32&lt;&gt;"",Anmeldung!$G$32&lt;&gt;Anmeldung!$G$27,(Anmeldung!$B$32&amp;": "&amp;Anmeldung!$D$32&amp;", "&amp;Anmeldung!$E$32&amp;" / "&amp;Anmeldung!$G$32&amp;" / "&amp;Anmeldung!$J$32)&lt;&gt;Anmeldung!$S$27),Anmeldung!$B$32&amp;": "&amp;Anmeldung!$D$32&amp;", "&amp;Anmeldung!$E$32&amp;" / "&amp;Anmeldung!$G$32&amp;" / "&amp;Anmeldung!$J$32,"")</f>
        <v/>
      </c>
      <c r="BY19" t="str">
        <f>IF(AND(25&lt;&gt;20,Anmeldung!$D$32&lt;&gt;"",(Anmeldung!$B$32&amp;": "&amp;Anmeldung!$D$32&amp;", "&amp;Anmeldung!$E$32&amp;" / "&amp;Anmeldung!$G$32&amp;" / "&amp;Anmeldung!$J$32)&lt;&gt;Anmeldung!$R$27),Anmeldung!$B$32&amp;": "&amp;Anmeldung!$D$32&amp;", "&amp;Anmeldung!$E$32&amp;" / "&amp;Anmeldung!$G$32&amp;" / "&amp;Anmeldung!$J$32,"")</f>
        <v/>
      </c>
      <c r="BZ19" t="str">
        <f>IF(AND(24&lt;&gt;19,Anmeldung!$D$32&lt;&gt;"",Anmeldung!$U$32="Ja",Anmeldung!$G$32=Anmeldung!$G$27,Anmeldung!$J$32=Anmeldung!$J$27),Anmeldung!$B$32&amp;": "&amp;Anmeldung!$D$32&amp;", "&amp;Anmeldung!$E$32&amp;" / "&amp;Anmeldung!$G$32&amp;" / "&amp;Anmeldung!$J$32,"")</f>
        <v/>
      </c>
      <c r="CC19" t="str">
        <f>IF(AND(25&lt;&gt;21,Anmeldung!$D$32&lt;&gt;"",Anmeldung!$G$32=Anmeldung!$G$28,Anmeldung!$J$32=Anmeldung!$J$28),Anmeldung!$B$32&amp;": "&amp;Anmeldung!$D$32&amp;", "&amp;Anmeldung!$E$32&amp;" / "&amp;Anmeldung!$G$32&amp;" / "&amp;Anmeldung!$J$32,"")</f>
        <v/>
      </c>
      <c r="CD19" t="str">
        <f>IF(AND(25&lt;&gt;21,Anmeldung!$D$32&lt;&gt;"",Anmeldung!$G$32=Anmeldung!$G$28,Anmeldung!$J$32=Anmeldung!$J$28,(Anmeldung!$B$32&amp;": "&amp;Anmeldung!$D$32&amp;", "&amp;Anmeldung!$E$32&amp;" / "&amp;Anmeldung!$G$32&amp;" / "&amp;Anmeldung!$J$32)&lt;&gt;Anmeldung!$P$28),Anmeldung!$B$32&amp;": "&amp;Anmeldung!$D$32&amp;", "&amp;Anmeldung!$E$32&amp;" / "&amp;Anmeldung!$G$32&amp;" / "&amp;Anmeldung!$J$32,"")</f>
        <v/>
      </c>
      <c r="CE19" t="str">
        <f>IF(AND(25&lt;&gt;21,Anmeldung!$D$32&lt;&gt;"",Anmeldung!$G$32=Anmeldung!$G$28,Anmeldung!$J$32=Anmeldung!$J$28,(Anmeldung!$B$32&amp;": "&amp;Anmeldung!$D$32&amp;", "&amp;Anmeldung!$E$32&amp;" / "&amp;Anmeldung!$G$32&amp;" / "&amp;Anmeldung!$J$32)&lt;&gt;Anmeldung!$O$28),Anmeldung!$B$32&amp;": "&amp;Anmeldung!$D$32&amp;", "&amp;Anmeldung!$E$32&amp;" / "&amp;Anmeldung!$G$32&amp;" / "&amp;Anmeldung!$J$32,"")</f>
        <v/>
      </c>
      <c r="CF19" t="str">
        <f>IF(AND(25&lt;&gt;21,Anmeldung!$D$32&lt;&gt;"",Anmeldung!$G$32&lt;&gt;Anmeldung!$G$28,(Anmeldung!$B$32&amp;": "&amp;Anmeldung!$D$32&amp;", "&amp;Anmeldung!$E$32&amp;" / "&amp;Anmeldung!$G$32&amp;" / "&amp;Anmeldung!$J$32)&lt;&gt;Anmeldung!$S$28),Anmeldung!$B$32&amp;": "&amp;Anmeldung!$D$32&amp;", "&amp;Anmeldung!$E$32&amp;" / "&amp;Anmeldung!$G$32&amp;" / "&amp;Anmeldung!$J$32,"")</f>
        <v/>
      </c>
      <c r="CG19" t="str">
        <f>IF(AND(25&lt;&gt;21,Anmeldung!$D$32&lt;&gt;"",(Anmeldung!$B$32&amp;": "&amp;Anmeldung!$D$32&amp;", "&amp;Anmeldung!$E$32&amp;" / "&amp;Anmeldung!$G$32&amp;" / "&amp;Anmeldung!$J$32)&lt;&gt;Anmeldung!$R$28),Anmeldung!$B$32&amp;": "&amp;Anmeldung!$D$32&amp;", "&amp;Anmeldung!$E$32&amp;" / "&amp;Anmeldung!$G$32&amp;" / "&amp;Anmeldung!$J$32,"")</f>
        <v/>
      </c>
      <c r="CH19" t="str">
        <f>IF(AND(24&lt;&gt;20,Anmeldung!$D$32&lt;&gt;"",Anmeldung!$U$32="Ja",Anmeldung!$G$32=Anmeldung!$G$28,Anmeldung!$J$32=Anmeldung!$J$28),Anmeldung!$B$32&amp;": "&amp;Anmeldung!$D$32&amp;", "&amp;Anmeldung!$E$32&amp;" / "&amp;Anmeldung!$G$32&amp;" / "&amp;Anmeldung!$J$32,"")</f>
        <v/>
      </c>
      <c r="CK19" t="str">
        <f>IF(AND(25&lt;&gt;22,Anmeldung!$D$32&lt;&gt;"",Anmeldung!$G$32=Anmeldung!$G$29,Anmeldung!$J$32=Anmeldung!$J$29),Anmeldung!$B$32&amp;": "&amp;Anmeldung!$D$32&amp;", "&amp;Anmeldung!$E$32&amp;" / "&amp;Anmeldung!$G$32&amp;" / "&amp;Anmeldung!$J$32,"")</f>
        <v/>
      </c>
      <c r="CL19" t="str">
        <f>IF(AND(25&lt;&gt;22,Anmeldung!$D$32&lt;&gt;"",Anmeldung!$G$32=Anmeldung!$G$29,Anmeldung!$J$32=Anmeldung!$J$29,(Anmeldung!$B$32&amp;": "&amp;Anmeldung!$D$32&amp;", "&amp;Anmeldung!$E$32&amp;" / "&amp;Anmeldung!$G$32&amp;" / "&amp;Anmeldung!$J$32)&lt;&gt;Anmeldung!$P$29),Anmeldung!$B$32&amp;": "&amp;Anmeldung!$D$32&amp;", "&amp;Anmeldung!$E$32&amp;" / "&amp;Anmeldung!$G$32&amp;" / "&amp;Anmeldung!$J$32,"")</f>
        <v/>
      </c>
      <c r="CM19" t="str">
        <f>IF(AND(25&lt;&gt;22,Anmeldung!$D$32&lt;&gt;"",Anmeldung!$G$32=Anmeldung!$G$29,Anmeldung!$J$32=Anmeldung!$J$29,(Anmeldung!$B$32&amp;": "&amp;Anmeldung!$D$32&amp;", "&amp;Anmeldung!$E$32&amp;" / "&amp;Anmeldung!$G$32&amp;" / "&amp;Anmeldung!$J$32)&lt;&gt;Anmeldung!$O$29),Anmeldung!$B$32&amp;": "&amp;Anmeldung!$D$32&amp;", "&amp;Anmeldung!$E$32&amp;" / "&amp;Anmeldung!$G$32&amp;" / "&amp;Anmeldung!$J$32,"")</f>
        <v/>
      </c>
      <c r="CN19" t="str">
        <f>IF(AND(25&lt;&gt;22,Anmeldung!$D$32&lt;&gt;"",Anmeldung!$G$32&lt;&gt;Anmeldung!$G$29,(Anmeldung!$B$32&amp;": "&amp;Anmeldung!$D$32&amp;", "&amp;Anmeldung!$E$32&amp;" / "&amp;Anmeldung!$G$32&amp;" / "&amp;Anmeldung!$J$32)&lt;&gt;Anmeldung!$S$29),Anmeldung!$B$32&amp;": "&amp;Anmeldung!$D$32&amp;", "&amp;Anmeldung!$E$32&amp;" / "&amp;Anmeldung!$G$32&amp;" / "&amp;Anmeldung!$J$32,"")</f>
        <v/>
      </c>
      <c r="CO19" t="str">
        <f>IF(AND(25&lt;&gt;22,Anmeldung!$D$32&lt;&gt;"",(Anmeldung!$B$32&amp;": "&amp;Anmeldung!$D$32&amp;", "&amp;Anmeldung!$E$32&amp;" / "&amp;Anmeldung!$G$32&amp;" / "&amp;Anmeldung!$J$32)&lt;&gt;Anmeldung!$R$29),Anmeldung!$B$32&amp;": "&amp;Anmeldung!$D$32&amp;", "&amp;Anmeldung!$E$32&amp;" / "&amp;Anmeldung!$G$32&amp;" / "&amp;Anmeldung!$J$32,"")</f>
        <v/>
      </c>
      <c r="CP19" t="str">
        <f>IF(AND(24&lt;&gt;21,Anmeldung!$D$32&lt;&gt;"",Anmeldung!$U$32="Ja",Anmeldung!$G$32=Anmeldung!$G$29,Anmeldung!$J$32=Anmeldung!$J$29),Anmeldung!$B$32&amp;": "&amp;Anmeldung!$D$32&amp;", "&amp;Anmeldung!$E$32&amp;" / "&amp;Anmeldung!$G$32&amp;" / "&amp;Anmeldung!$J$32,"")</f>
        <v/>
      </c>
      <c r="CS19" t="str">
        <f>IF(AND(25&lt;&gt;23,Anmeldung!$D$32&lt;&gt;"",Anmeldung!$G$32=Anmeldung!$G$30,Anmeldung!$J$32=Anmeldung!$J$30),Anmeldung!$B$32&amp;": "&amp;Anmeldung!$D$32&amp;", "&amp;Anmeldung!$E$32&amp;" / "&amp;Anmeldung!$G$32&amp;" / "&amp;Anmeldung!$J$32,"")</f>
        <v/>
      </c>
      <c r="CT19" t="str">
        <f>IF(AND(25&lt;&gt;23,Anmeldung!$D$32&lt;&gt;"",Anmeldung!$G$32=Anmeldung!$G$30,Anmeldung!$J$32=Anmeldung!$J$30,(Anmeldung!$B$32&amp;": "&amp;Anmeldung!$D$32&amp;", "&amp;Anmeldung!$E$32&amp;" / "&amp;Anmeldung!$G$32&amp;" / "&amp;Anmeldung!$J$32)&lt;&gt;Anmeldung!$P$30),Anmeldung!$B$32&amp;": "&amp;Anmeldung!$D$32&amp;", "&amp;Anmeldung!$E$32&amp;" / "&amp;Anmeldung!$G$32&amp;" / "&amp;Anmeldung!$J$32,"")</f>
        <v/>
      </c>
      <c r="CU19" t="str">
        <f>IF(AND(25&lt;&gt;23,Anmeldung!$D$32&lt;&gt;"",Anmeldung!$G$32=Anmeldung!$G$30,Anmeldung!$J$32=Anmeldung!$J$30,(Anmeldung!$B$32&amp;": "&amp;Anmeldung!$D$32&amp;", "&amp;Anmeldung!$E$32&amp;" / "&amp;Anmeldung!$G$32&amp;" / "&amp;Anmeldung!$J$32)&lt;&gt;Anmeldung!$O$30),Anmeldung!$B$32&amp;": "&amp;Anmeldung!$D$32&amp;", "&amp;Anmeldung!$E$32&amp;" / "&amp;Anmeldung!$G$32&amp;" / "&amp;Anmeldung!$J$32,"")</f>
        <v/>
      </c>
      <c r="CV19" t="str">
        <f>IF(AND(25&lt;&gt;23,Anmeldung!$D$32&lt;&gt;"",Anmeldung!$G$32&lt;&gt;Anmeldung!$G$30,(Anmeldung!$B$32&amp;": "&amp;Anmeldung!$D$32&amp;", "&amp;Anmeldung!$E$32&amp;" / "&amp;Anmeldung!$G$32&amp;" / "&amp;Anmeldung!$J$32)&lt;&gt;Anmeldung!$S$30),Anmeldung!$B$32&amp;": "&amp;Anmeldung!$D$32&amp;", "&amp;Anmeldung!$E$32&amp;" / "&amp;Anmeldung!$G$32&amp;" / "&amp;Anmeldung!$J$32,"")</f>
        <v/>
      </c>
      <c r="CW19" t="str">
        <f>IF(AND(25&lt;&gt;23,Anmeldung!$D$32&lt;&gt;"",(Anmeldung!$B$32&amp;": "&amp;Anmeldung!$D$32&amp;", "&amp;Anmeldung!$E$32&amp;" / "&amp;Anmeldung!$G$32&amp;" / "&amp;Anmeldung!$J$32)&lt;&gt;Anmeldung!$R$30),Anmeldung!$B$32&amp;": "&amp;Anmeldung!$D$32&amp;", "&amp;Anmeldung!$E$32&amp;" / "&amp;Anmeldung!$G$32&amp;" / "&amp;Anmeldung!$J$32,"")</f>
        <v/>
      </c>
      <c r="CX19" t="str">
        <f>IF(AND(24&lt;&gt;22,Anmeldung!$D$32&lt;&gt;"",Anmeldung!$U$32="Ja",Anmeldung!$G$32=Anmeldung!$G$30,Anmeldung!$J$32=Anmeldung!$J$30),Anmeldung!$B$32&amp;": "&amp;Anmeldung!$D$32&amp;", "&amp;Anmeldung!$E$32&amp;" / "&amp;Anmeldung!$G$32&amp;" / "&amp;Anmeldung!$J$32,"")</f>
        <v/>
      </c>
      <c r="DA19" t="str">
        <f>IF(AND(25&lt;&gt;24,Anmeldung!$D$32&lt;&gt;"",Anmeldung!$G$32=Anmeldung!$G$31,Anmeldung!$J$32=Anmeldung!$J$31),Anmeldung!$B$32&amp;": "&amp;Anmeldung!$D$32&amp;", "&amp;Anmeldung!$E$32&amp;" / "&amp;Anmeldung!$G$32&amp;" / "&amp;Anmeldung!$J$32,"")</f>
        <v/>
      </c>
      <c r="DB19" t="str">
        <f>IF(AND(25&lt;&gt;24,Anmeldung!$D$32&lt;&gt;"",Anmeldung!$G$32=Anmeldung!$G$31,Anmeldung!$J$32=Anmeldung!$J$31,(Anmeldung!$B$32&amp;": "&amp;Anmeldung!$D$32&amp;", "&amp;Anmeldung!$E$32&amp;" / "&amp;Anmeldung!$G$32&amp;" / "&amp;Anmeldung!$J$32)&lt;&gt;Anmeldung!$P$31),Anmeldung!$B$32&amp;": "&amp;Anmeldung!$D$32&amp;", "&amp;Anmeldung!$E$32&amp;" / "&amp;Anmeldung!$G$32&amp;" / "&amp;Anmeldung!$J$32,"")</f>
        <v/>
      </c>
      <c r="DC19" t="str">
        <f>IF(AND(25&lt;&gt;24,Anmeldung!$D$32&lt;&gt;"",Anmeldung!$G$32=Anmeldung!$G$31,Anmeldung!$J$32=Anmeldung!$J$31,(Anmeldung!$B$32&amp;": "&amp;Anmeldung!$D$32&amp;", "&amp;Anmeldung!$E$32&amp;" / "&amp;Anmeldung!$G$32&amp;" / "&amp;Anmeldung!$J$32)&lt;&gt;Anmeldung!$O$31),Anmeldung!$B$32&amp;": "&amp;Anmeldung!$D$32&amp;", "&amp;Anmeldung!$E$32&amp;" / "&amp;Anmeldung!$G$32&amp;" / "&amp;Anmeldung!$J$32,"")</f>
        <v/>
      </c>
      <c r="DD19" t="str">
        <f>IF(AND(25&lt;&gt;24,Anmeldung!$D$32&lt;&gt;"",Anmeldung!$G$32&lt;&gt;Anmeldung!$G$31,(Anmeldung!$B$32&amp;": "&amp;Anmeldung!$D$32&amp;", "&amp;Anmeldung!$E$32&amp;" / "&amp;Anmeldung!$G$32&amp;" / "&amp;Anmeldung!$J$32)&lt;&gt;Anmeldung!$S$31),Anmeldung!$B$32&amp;": "&amp;Anmeldung!$D$32&amp;", "&amp;Anmeldung!$E$32&amp;" / "&amp;Anmeldung!$G$32&amp;" / "&amp;Anmeldung!$J$32,"")</f>
        <v/>
      </c>
      <c r="DE19" t="str">
        <f>IF(AND(25&lt;&gt;24,Anmeldung!$D$32&lt;&gt;"",(Anmeldung!$B$32&amp;": "&amp;Anmeldung!$D$32&amp;", "&amp;Anmeldung!$E$32&amp;" / "&amp;Anmeldung!$G$32&amp;" / "&amp;Anmeldung!$J$32)&lt;&gt;Anmeldung!$R$31),Anmeldung!$B$32&amp;": "&amp;Anmeldung!$D$32&amp;", "&amp;Anmeldung!$E$32&amp;" / "&amp;Anmeldung!$G$32&amp;" / "&amp;Anmeldung!$J$32,"")</f>
        <v/>
      </c>
      <c r="DF19" t="str">
        <f>IF(AND(24&lt;&gt;23,Anmeldung!$D$32&lt;&gt;"",Anmeldung!$U$32="Ja",Anmeldung!$G$32=Anmeldung!$G$31,Anmeldung!$J$32=Anmeldung!$J$31),Anmeldung!$B$32&amp;": "&amp;Anmeldung!$D$32&amp;", "&amp;Anmeldung!$E$32&amp;" / "&amp;Anmeldung!$G$32&amp;" / "&amp;Anmeldung!$J$32,"")</f>
        <v/>
      </c>
      <c r="DI19" t="str">
        <f>IF(AND(25&lt;&gt;25,Anmeldung!$D$32&lt;&gt;"",Anmeldung!$G$32=Anmeldung!$G$32,Anmeldung!$J$32=Anmeldung!$J$32),Anmeldung!$B$32&amp;": "&amp;Anmeldung!$D$32&amp;", "&amp;Anmeldung!$E$32&amp;" / "&amp;Anmeldung!$G$32&amp;" / "&amp;Anmeldung!$J$32,"")</f>
        <v/>
      </c>
      <c r="DJ19" t="str">
        <f>IF(AND(25&lt;&gt;25,Anmeldung!$D$32&lt;&gt;"",Anmeldung!$G$32=Anmeldung!$G$32,Anmeldung!$J$32=Anmeldung!$J$32,(Anmeldung!$B$32&amp;": "&amp;Anmeldung!$D$32&amp;", "&amp;Anmeldung!$E$32&amp;" / "&amp;Anmeldung!$G$32&amp;" / "&amp;Anmeldung!$J$32)&lt;&gt;Anmeldung!$P$32),Anmeldung!$B$32&amp;": "&amp;Anmeldung!$D$32&amp;", "&amp;Anmeldung!$E$32&amp;" / "&amp;Anmeldung!$G$32&amp;" / "&amp;Anmeldung!$J$32,"")</f>
        <v/>
      </c>
      <c r="DK19" t="str">
        <f>IF(AND(25&lt;&gt;25,Anmeldung!$D$32&lt;&gt;"",Anmeldung!$G$32=Anmeldung!$G$32,Anmeldung!$J$32=Anmeldung!$J$32,(Anmeldung!$B$32&amp;": "&amp;Anmeldung!$D$32&amp;", "&amp;Anmeldung!$E$32&amp;" / "&amp;Anmeldung!$G$32&amp;" / "&amp;Anmeldung!$J$32)&lt;&gt;Anmeldung!$O$32),Anmeldung!$B$32&amp;": "&amp;Anmeldung!$D$32&amp;", "&amp;Anmeldung!$E$32&amp;" / "&amp;Anmeldung!$G$32&amp;" / "&amp;Anmeldung!$J$32,"")</f>
        <v/>
      </c>
      <c r="DL19" t="str">
        <f>IF(AND(25&lt;&gt;25,Anmeldung!$D$32&lt;&gt;"",Anmeldung!$G$32&lt;&gt;Anmeldung!$G$32,(Anmeldung!$B$32&amp;": "&amp;Anmeldung!$D$32&amp;", "&amp;Anmeldung!$E$32&amp;" / "&amp;Anmeldung!$G$32&amp;" / "&amp;Anmeldung!$J$32)&lt;&gt;Anmeldung!$S$32),Anmeldung!$B$32&amp;": "&amp;Anmeldung!$D$32&amp;", "&amp;Anmeldung!$E$32&amp;" / "&amp;Anmeldung!$G$32&amp;" / "&amp;Anmeldung!$J$32,"")</f>
        <v/>
      </c>
      <c r="DM19" t="str">
        <f>IF(AND(25&lt;&gt;25,Anmeldung!$D$32&lt;&gt;"",(Anmeldung!$B$32&amp;": "&amp;Anmeldung!$D$32&amp;", "&amp;Anmeldung!$E$32&amp;" / "&amp;Anmeldung!$G$32&amp;" / "&amp;Anmeldung!$J$32)&lt;&gt;Anmeldung!$R$32),Anmeldung!$B$32&amp;": "&amp;Anmeldung!$D$32&amp;", "&amp;Anmeldung!$E$32&amp;" / "&amp;Anmeldung!$G$32&amp;" / "&amp;Anmeldung!$J$32,"")</f>
        <v/>
      </c>
      <c r="DN19" t="str">
        <f>IF(AND(24&lt;&gt;24,Anmeldung!$D$32&lt;&gt;"",Anmeldung!$U$32="Ja",Anmeldung!$G$32=Anmeldung!$G$32,Anmeldung!$J$32=Anmeldung!$J$32),Anmeldung!$B$32&amp;": "&amp;Anmeldung!$D$32&amp;", "&amp;Anmeldung!$E$32&amp;" / "&amp;Anmeldung!$G$32&amp;" / "&amp;Anmeldung!$J$32,"")</f>
        <v/>
      </c>
      <c r="DQ19" t="str">
        <f>IF(AND(25&lt;&gt;26,Anmeldung!$D$32&lt;&gt;"",Anmeldung!$G$32=Anmeldung!$G$33,Anmeldung!$J$32=Anmeldung!$J$33),Anmeldung!$B$32&amp;": "&amp;Anmeldung!$D$32&amp;", "&amp;Anmeldung!$E$32&amp;" / "&amp;Anmeldung!$G$32&amp;" / "&amp;Anmeldung!$J$32,"")</f>
        <v/>
      </c>
      <c r="DR19" t="str">
        <f>IF(AND(25&lt;&gt;26,Anmeldung!$D$32&lt;&gt;"",Anmeldung!$G$32=Anmeldung!$G$33,Anmeldung!$J$32=Anmeldung!$J$33,(Anmeldung!$B$32&amp;": "&amp;Anmeldung!$D$32&amp;", "&amp;Anmeldung!$E$32&amp;" / "&amp;Anmeldung!$G$32&amp;" / "&amp;Anmeldung!$J$32)&lt;&gt;Anmeldung!$P$33),Anmeldung!$B$32&amp;": "&amp;Anmeldung!$D$32&amp;", "&amp;Anmeldung!$E$32&amp;" / "&amp;Anmeldung!$G$32&amp;" / "&amp;Anmeldung!$J$32,"")</f>
        <v/>
      </c>
      <c r="DS19" t="str">
        <f>IF(AND(25&lt;&gt;26,Anmeldung!$D$32&lt;&gt;"",Anmeldung!$G$32=Anmeldung!$G$33,Anmeldung!$J$32=Anmeldung!$J$33,(Anmeldung!$B$32&amp;": "&amp;Anmeldung!$D$32&amp;", "&amp;Anmeldung!$E$32&amp;" / "&amp;Anmeldung!$G$32&amp;" / "&amp;Anmeldung!$J$32)&lt;&gt;Anmeldung!$O$33),Anmeldung!$B$32&amp;": "&amp;Anmeldung!$D$32&amp;", "&amp;Anmeldung!$E$32&amp;" / "&amp;Anmeldung!$G$32&amp;" / "&amp;Anmeldung!$J$32,"")</f>
        <v/>
      </c>
      <c r="DT19" t="str">
        <f>IF(AND(25&lt;&gt;26,Anmeldung!$D$32&lt;&gt;"",Anmeldung!$G$32&lt;&gt;Anmeldung!$G$33,(Anmeldung!$B$32&amp;": "&amp;Anmeldung!$D$32&amp;", "&amp;Anmeldung!$E$32&amp;" / "&amp;Anmeldung!$G$32&amp;" / "&amp;Anmeldung!$J$32)&lt;&gt;Anmeldung!$S$33),Anmeldung!$B$32&amp;": "&amp;Anmeldung!$D$32&amp;", "&amp;Anmeldung!$E$32&amp;" / "&amp;Anmeldung!$G$32&amp;" / "&amp;Anmeldung!$J$32,"")</f>
        <v/>
      </c>
      <c r="DU19" t="str">
        <f>IF(AND(25&lt;&gt;26,Anmeldung!$D$32&lt;&gt;"",(Anmeldung!$B$32&amp;": "&amp;Anmeldung!$D$32&amp;", "&amp;Anmeldung!$E$32&amp;" / "&amp;Anmeldung!$G$32&amp;" / "&amp;Anmeldung!$J$32)&lt;&gt;Anmeldung!$R$33),Anmeldung!$B$32&amp;": "&amp;Anmeldung!$D$32&amp;", "&amp;Anmeldung!$E$32&amp;" / "&amp;Anmeldung!$G$32&amp;" / "&amp;Anmeldung!$J$32,"")</f>
        <v/>
      </c>
      <c r="DV19" t="str">
        <f>IF(AND(24&lt;&gt;25,Anmeldung!$D$32&lt;&gt;"",Anmeldung!$U$32="Ja",Anmeldung!$G$32=Anmeldung!$G$33,Anmeldung!$J$32=Anmeldung!$J$33),Anmeldung!$B$32&amp;": "&amp;Anmeldung!$D$32&amp;", "&amp;Anmeldung!$E$32&amp;" / "&amp;Anmeldung!$G$32&amp;" / "&amp;Anmeldung!$J$32,"")</f>
        <v/>
      </c>
      <c r="DY19" t="str">
        <f>IF(AND(25&lt;&gt;27,Anmeldung!$D$32&lt;&gt;"",Anmeldung!$G$32=Anmeldung!$G$34,Anmeldung!$J$32=Anmeldung!$J$34),Anmeldung!$B$32&amp;": "&amp;Anmeldung!$D$32&amp;", "&amp;Anmeldung!$E$32&amp;" / "&amp;Anmeldung!$G$32&amp;" / "&amp;Anmeldung!$J$32,"")</f>
        <v/>
      </c>
      <c r="DZ19" t="str">
        <f>IF(AND(25&lt;&gt;27,Anmeldung!$D$32&lt;&gt;"",Anmeldung!$G$32=Anmeldung!$G$34,Anmeldung!$J$32=Anmeldung!$J$34,(Anmeldung!$B$32&amp;": "&amp;Anmeldung!$D$32&amp;", "&amp;Anmeldung!$E$32&amp;" / "&amp;Anmeldung!$G$32&amp;" / "&amp;Anmeldung!$J$32)&lt;&gt;Anmeldung!$P$34),Anmeldung!$B$32&amp;": "&amp;Anmeldung!$D$32&amp;", "&amp;Anmeldung!$E$32&amp;" / "&amp;Anmeldung!$G$32&amp;" / "&amp;Anmeldung!$J$32,"")</f>
        <v/>
      </c>
      <c r="EA19" t="str">
        <f>IF(AND(25&lt;&gt;27,Anmeldung!$D$32&lt;&gt;"",Anmeldung!$G$32=Anmeldung!$G$34,Anmeldung!$J$32=Anmeldung!$J$34,(Anmeldung!$B$32&amp;": "&amp;Anmeldung!$D$32&amp;", "&amp;Anmeldung!$E$32&amp;" / "&amp;Anmeldung!$G$32&amp;" / "&amp;Anmeldung!$J$32)&lt;&gt;Anmeldung!$O$34),Anmeldung!$B$32&amp;": "&amp;Anmeldung!$D$32&amp;", "&amp;Anmeldung!$E$32&amp;" / "&amp;Anmeldung!$G$32&amp;" / "&amp;Anmeldung!$J$32,"")</f>
        <v/>
      </c>
      <c r="EB19" t="str">
        <f>IF(AND(25&lt;&gt;27,Anmeldung!$D$32&lt;&gt;"",Anmeldung!$G$32&lt;&gt;Anmeldung!$G$34,(Anmeldung!$B$32&amp;": "&amp;Anmeldung!$D$32&amp;", "&amp;Anmeldung!$E$32&amp;" / "&amp;Anmeldung!$G$32&amp;" / "&amp;Anmeldung!$J$32)&lt;&gt;Anmeldung!$S$34),Anmeldung!$B$32&amp;": "&amp;Anmeldung!$D$32&amp;", "&amp;Anmeldung!$E$32&amp;" / "&amp;Anmeldung!$G$32&amp;" / "&amp;Anmeldung!$J$32,"")</f>
        <v/>
      </c>
      <c r="EC19" t="str">
        <f>IF(AND(25&lt;&gt;27,Anmeldung!$D$32&lt;&gt;"",(Anmeldung!$B$32&amp;": "&amp;Anmeldung!$D$32&amp;", "&amp;Anmeldung!$E$32&amp;" / "&amp;Anmeldung!$G$32&amp;" / "&amp;Anmeldung!$J$32)&lt;&gt;Anmeldung!$R$34),Anmeldung!$B$32&amp;": "&amp;Anmeldung!$D$32&amp;", "&amp;Anmeldung!$E$32&amp;" / "&amp;Anmeldung!$G$32&amp;" / "&amp;Anmeldung!$J$32,"")</f>
        <v/>
      </c>
      <c r="ED19" t="str">
        <f>IF(AND(24&lt;&gt;26,Anmeldung!$D$32&lt;&gt;"",Anmeldung!$U$32="Ja",Anmeldung!$G$32=Anmeldung!$G$34,Anmeldung!$J$32=Anmeldung!$J$34),Anmeldung!$B$32&amp;": "&amp;Anmeldung!$D$32&amp;", "&amp;Anmeldung!$E$32&amp;" / "&amp;Anmeldung!$G$32&amp;" / "&amp;Anmeldung!$J$32,"")</f>
        <v/>
      </c>
      <c r="EG19" t="str">
        <f>IF(AND(25&lt;&gt;28,Anmeldung!$D$32&lt;&gt;"",Anmeldung!$G$32=Anmeldung!$G$35,Anmeldung!$J$32=Anmeldung!$J$35),Anmeldung!$B$32&amp;": "&amp;Anmeldung!$D$32&amp;", "&amp;Anmeldung!$E$32&amp;" / "&amp;Anmeldung!$G$32&amp;" / "&amp;Anmeldung!$J$32,"")</f>
        <v/>
      </c>
      <c r="EH19" t="str">
        <f>IF(AND(25&lt;&gt;28,Anmeldung!$D$32&lt;&gt;"",Anmeldung!$G$32=Anmeldung!$G$35,Anmeldung!$J$32=Anmeldung!$J$35,(Anmeldung!$B$32&amp;": "&amp;Anmeldung!$D$32&amp;", "&amp;Anmeldung!$E$32&amp;" / "&amp;Anmeldung!$G$32&amp;" / "&amp;Anmeldung!$J$32)&lt;&gt;Anmeldung!$P$35),Anmeldung!$B$32&amp;": "&amp;Anmeldung!$D$32&amp;", "&amp;Anmeldung!$E$32&amp;" / "&amp;Anmeldung!$G$32&amp;" / "&amp;Anmeldung!$J$32,"")</f>
        <v/>
      </c>
      <c r="EI19" t="str">
        <f>IF(AND(25&lt;&gt;28,Anmeldung!$D$32&lt;&gt;"",Anmeldung!$G$32=Anmeldung!$G$35,Anmeldung!$J$32=Anmeldung!$J$35,(Anmeldung!$B$32&amp;": "&amp;Anmeldung!$D$32&amp;", "&amp;Anmeldung!$E$32&amp;" / "&amp;Anmeldung!$G$32&amp;" / "&amp;Anmeldung!$J$32)&lt;&gt;Anmeldung!$O$35),Anmeldung!$B$32&amp;": "&amp;Anmeldung!$D$32&amp;", "&amp;Anmeldung!$E$32&amp;" / "&amp;Anmeldung!$G$32&amp;" / "&amp;Anmeldung!$J$32,"")</f>
        <v/>
      </c>
      <c r="EJ19" t="str">
        <f>IF(AND(25&lt;&gt;28,Anmeldung!$D$32&lt;&gt;"",Anmeldung!$G$32&lt;&gt;Anmeldung!$G$35,(Anmeldung!$B$32&amp;": "&amp;Anmeldung!$D$32&amp;", "&amp;Anmeldung!$E$32&amp;" / "&amp;Anmeldung!$G$32&amp;" / "&amp;Anmeldung!$J$32)&lt;&gt;Anmeldung!$S$35),Anmeldung!$B$32&amp;": "&amp;Anmeldung!$D$32&amp;", "&amp;Anmeldung!$E$32&amp;" / "&amp;Anmeldung!$G$32&amp;" / "&amp;Anmeldung!$J$32,"")</f>
        <v/>
      </c>
      <c r="EK19" t="str">
        <f>IF(AND(25&lt;&gt;28,Anmeldung!$D$32&lt;&gt;"",(Anmeldung!$B$32&amp;": "&amp;Anmeldung!$D$32&amp;", "&amp;Anmeldung!$E$32&amp;" / "&amp;Anmeldung!$G$32&amp;" / "&amp;Anmeldung!$J$32)&lt;&gt;Anmeldung!$R$35),Anmeldung!$B$32&amp;": "&amp;Anmeldung!$D$32&amp;", "&amp;Anmeldung!$E$32&amp;" / "&amp;Anmeldung!$G$32&amp;" / "&amp;Anmeldung!$J$32,"")</f>
        <v/>
      </c>
      <c r="EL19" t="str">
        <f>IF(AND(24&lt;&gt;27,Anmeldung!$D$32&lt;&gt;"",Anmeldung!$U$32="Ja",Anmeldung!$G$32=Anmeldung!$G$35,Anmeldung!$J$32=Anmeldung!$J$35),Anmeldung!$B$32&amp;": "&amp;Anmeldung!$D$32&amp;", "&amp;Anmeldung!$E$32&amp;" / "&amp;Anmeldung!$G$32&amp;" / "&amp;Anmeldung!$J$32,"")</f>
        <v/>
      </c>
      <c r="EO19" t="str">
        <f>IF(AND(25&lt;&gt;29,Anmeldung!$D$32&lt;&gt;"",Anmeldung!$G$32=Anmeldung!$G$36,Anmeldung!$J$32=Anmeldung!$J$36),Anmeldung!$B$32&amp;": "&amp;Anmeldung!$D$32&amp;", "&amp;Anmeldung!$E$32&amp;" / "&amp;Anmeldung!$G$32&amp;" / "&amp;Anmeldung!$J$32,"")</f>
        <v/>
      </c>
      <c r="EP19" t="str">
        <f>IF(AND(25&lt;&gt;29,Anmeldung!$D$32&lt;&gt;"",Anmeldung!$G$32=Anmeldung!$G$36,Anmeldung!$J$32=Anmeldung!$J$36,(Anmeldung!$B$32&amp;": "&amp;Anmeldung!$D$32&amp;", "&amp;Anmeldung!$E$32&amp;" / "&amp;Anmeldung!$G$32&amp;" / "&amp;Anmeldung!$J$32)&lt;&gt;Anmeldung!$P$36),Anmeldung!$B$32&amp;": "&amp;Anmeldung!$D$32&amp;", "&amp;Anmeldung!$E$32&amp;" / "&amp;Anmeldung!$G$32&amp;" / "&amp;Anmeldung!$J$32,"")</f>
        <v/>
      </c>
      <c r="EQ19" t="str">
        <f>IF(AND(25&lt;&gt;29,Anmeldung!$D$32&lt;&gt;"",Anmeldung!$G$32=Anmeldung!$G$36,Anmeldung!$J$32=Anmeldung!$J$36,(Anmeldung!$B$32&amp;": "&amp;Anmeldung!$D$32&amp;", "&amp;Anmeldung!$E$32&amp;" / "&amp;Anmeldung!$G$32&amp;" / "&amp;Anmeldung!$J$32)&lt;&gt;Anmeldung!$O$36),Anmeldung!$B$32&amp;": "&amp;Anmeldung!$D$32&amp;", "&amp;Anmeldung!$E$32&amp;" / "&amp;Anmeldung!$G$32&amp;" / "&amp;Anmeldung!$J$32,"")</f>
        <v/>
      </c>
      <c r="ER19" t="str">
        <f>IF(AND(25&lt;&gt;29,Anmeldung!$D$32&lt;&gt;"",Anmeldung!$G$32&lt;&gt;Anmeldung!$G$36,(Anmeldung!$B$32&amp;": "&amp;Anmeldung!$D$32&amp;", "&amp;Anmeldung!$E$32&amp;" / "&amp;Anmeldung!$G$32&amp;" / "&amp;Anmeldung!$J$32)&lt;&gt;Anmeldung!$S$36),Anmeldung!$B$32&amp;": "&amp;Anmeldung!$D$32&amp;", "&amp;Anmeldung!$E$32&amp;" / "&amp;Anmeldung!$G$32&amp;" / "&amp;Anmeldung!$J$32,"")</f>
        <v/>
      </c>
      <c r="ES19" t="str">
        <f>IF(AND(25&lt;&gt;29,Anmeldung!$D$32&lt;&gt;"",(Anmeldung!$B$32&amp;": "&amp;Anmeldung!$D$32&amp;", "&amp;Anmeldung!$E$32&amp;" / "&amp;Anmeldung!$G$32&amp;" / "&amp;Anmeldung!$J$32)&lt;&gt;Anmeldung!$R$36),Anmeldung!$B$32&amp;": "&amp;Anmeldung!$D$32&amp;", "&amp;Anmeldung!$E$32&amp;" / "&amp;Anmeldung!$G$32&amp;" / "&amp;Anmeldung!$J$32,"")</f>
        <v/>
      </c>
      <c r="ET19" t="str">
        <f>IF(AND(24&lt;&gt;28,Anmeldung!$D$32&lt;&gt;"",Anmeldung!$U$32="Ja",Anmeldung!$G$32=Anmeldung!$G$36,Anmeldung!$J$32=Anmeldung!$J$36),Anmeldung!$B$32&amp;": "&amp;Anmeldung!$D$32&amp;", "&amp;Anmeldung!$E$32&amp;" / "&amp;Anmeldung!$G$32&amp;" / "&amp;Anmeldung!$J$32,"")</f>
        <v/>
      </c>
      <c r="EW19" t="str">
        <f>IF(AND(25&lt;&gt;30,Anmeldung!$D$32&lt;&gt;"",Anmeldung!$G$32=Anmeldung!$G$37,Anmeldung!$J$32=Anmeldung!$J$37),Anmeldung!$B$32&amp;": "&amp;Anmeldung!$D$32&amp;", "&amp;Anmeldung!$E$32&amp;" / "&amp;Anmeldung!$G$32&amp;" / "&amp;Anmeldung!$J$32,"")</f>
        <v/>
      </c>
      <c r="EX19" t="str">
        <f>IF(AND(25&lt;&gt;30,Anmeldung!$D$32&lt;&gt;"",Anmeldung!$G$32=Anmeldung!$G$37,Anmeldung!$J$32=Anmeldung!$J$37,(Anmeldung!$B$32&amp;": "&amp;Anmeldung!$D$32&amp;", "&amp;Anmeldung!$E$32&amp;" / "&amp;Anmeldung!$G$32&amp;" / "&amp;Anmeldung!$J$32)&lt;&gt;Anmeldung!$P$37),Anmeldung!$B$32&amp;": "&amp;Anmeldung!$D$32&amp;", "&amp;Anmeldung!$E$32&amp;" / "&amp;Anmeldung!$G$32&amp;" / "&amp;Anmeldung!$J$32,"")</f>
        <v/>
      </c>
      <c r="EY19" t="str">
        <f>IF(AND(25&lt;&gt;30,Anmeldung!$D$32&lt;&gt;"",Anmeldung!$G$32=Anmeldung!$G$37,Anmeldung!$J$32=Anmeldung!$J$37,(Anmeldung!$B$32&amp;": "&amp;Anmeldung!$D$32&amp;", "&amp;Anmeldung!$E$32&amp;" / "&amp;Anmeldung!$G$32&amp;" / "&amp;Anmeldung!$J$32)&lt;&gt;Anmeldung!$O$37),Anmeldung!$B$32&amp;": "&amp;Anmeldung!$D$32&amp;", "&amp;Anmeldung!$E$32&amp;" / "&amp;Anmeldung!$G$32&amp;" / "&amp;Anmeldung!$J$32,"")</f>
        <v/>
      </c>
      <c r="EZ19" t="str">
        <f>IF(AND(25&lt;&gt;30,Anmeldung!$D$32&lt;&gt;"",Anmeldung!$G$32&lt;&gt;Anmeldung!$G$37,(Anmeldung!$B$32&amp;": "&amp;Anmeldung!$D$32&amp;", "&amp;Anmeldung!$E$32&amp;" / "&amp;Anmeldung!$G$32&amp;" / "&amp;Anmeldung!$J$32)&lt;&gt;Anmeldung!$S$37),Anmeldung!$B$32&amp;": "&amp;Anmeldung!$D$32&amp;", "&amp;Anmeldung!$E$32&amp;" / "&amp;Anmeldung!$G$32&amp;" / "&amp;Anmeldung!$J$32,"")</f>
        <v/>
      </c>
      <c r="FA19" t="str">
        <f>IF(AND(25&lt;&gt;30,Anmeldung!$D$32&lt;&gt;"",(Anmeldung!$B$32&amp;": "&amp;Anmeldung!$D$32&amp;", "&amp;Anmeldung!$E$32&amp;" / "&amp;Anmeldung!$G$32&amp;" / "&amp;Anmeldung!$J$32)&lt;&gt;Anmeldung!$R$37),Anmeldung!$B$32&amp;": "&amp;Anmeldung!$D$32&amp;", "&amp;Anmeldung!$E$32&amp;" / "&amp;Anmeldung!$G$32&amp;" / "&amp;Anmeldung!$J$32,"")</f>
        <v/>
      </c>
      <c r="FB19" t="str">
        <f>IF(AND(24&lt;&gt;29,Anmeldung!$D$32&lt;&gt;"",Anmeldung!$U$32="Ja",Anmeldung!$G$32=Anmeldung!$G$37,Anmeldung!$J$32=Anmeldung!$J$37),Anmeldung!$B$32&amp;": "&amp;Anmeldung!$D$32&amp;", "&amp;Anmeldung!$E$32&amp;" / "&amp;Anmeldung!$G$32&amp;" / "&amp;Anmeldung!$J$32,"")</f>
        <v/>
      </c>
      <c r="FE19" t="str">
        <f>IF(AND(25&lt;&gt;31,Anmeldung!$D$32&lt;&gt;"",Anmeldung!$G$32=Anmeldung!$G$38,Anmeldung!$J$32=Anmeldung!$J$38),Anmeldung!$B$32&amp;": "&amp;Anmeldung!$D$32&amp;", "&amp;Anmeldung!$E$32&amp;" / "&amp;Anmeldung!$G$32&amp;" / "&amp;Anmeldung!$J$32,"")</f>
        <v/>
      </c>
      <c r="FF19" t="str">
        <f>IF(AND(25&lt;&gt;31,Anmeldung!$D$32&lt;&gt;"",Anmeldung!$G$32=Anmeldung!$G$38,Anmeldung!$J$32=Anmeldung!$J$38,(Anmeldung!$B$32&amp;": "&amp;Anmeldung!$D$32&amp;", "&amp;Anmeldung!$E$32&amp;" / "&amp;Anmeldung!$G$32&amp;" / "&amp;Anmeldung!$J$32)&lt;&gt;Anmeldung!$P$38),Anmeldung!$B$32&amp;": "&amp;Anmeldung!$D$32&amp;", "&amp;Anmeldung!$E$32&amp;" / "&amp;Anmeldung!$G$32&amp;" / "&amp;Anmeldung!$J$32,"")</f>
        <v/>
      </c>
      <c r="FG19" t="str">
        <f>IF(AND(25&lt;&gt;31,Anmeldung!$D$32&lt;&gt;"",Anmeldung!$G$32=Anmeldung!$G$38,Anmeldung!$J$32=Anmeldung!$J$38,(Anmeldung!$B$32&amp;": "&amp;Anmeldung!$D$32&amp;", "&amp;Anmeldung!$E$32&amp;" / "&amp;Anmeldung!$G$32&amp;" / "&amp;Anmeldung!$J$32)&lt;&gt;Anmeldung!$O$38),Anmeldung!$B$32&amp;": "&amp;Anmeldung!$D$32&amp;", "&amp;Anmeldung!$E$32&amp;" / "&amp;Anmeldung!$G$32&amp;" / "&amp;Anmeldung!$J$32,"")</f>
        <v/>
      </c>
      <c r="FH19" t="str">
        <f>IF(AND(25&lt;&gt;31,Anmeldung!$D$32&lt;&gt;"",Anmeldung!$G$32&lt;&gt;Anmeldung!$G$38,(Anmeldung!$B$32&amp;": "&amp;Anmeldung!$D$32&amp;", "&amp;Anmeldung!$E$32&amp;" / "&amp;Anmeldung!$G$32&amp;" / "&amp;Anmeldung!$J$32)&lt;&gt;Anmeldung!$S$38),Anmeldung!$B$32&amp;": "&amp;Anmeldung!$D$32&amp;", "&amp;Anmeldung!$E$32&amp;" / "&amp;Anmeldung!$G$32&amp;" / "&amp;Anmeldung!$J$32,"")</f>
        <v/>
      </c>
      <c r="FI19" t="str">
        <f>IF(AND(25&lt;&gt;31,Anmeldung!$D$32&lt;&gt;"",(Anmeldung!$B$32&amp;": "&amp;Anmeldung!$D$32&amp;", "&amp;Anmeldung!$E$32&amp;" / "&amp;Anmeldung!$G$32&amp;" / "&amp;Anmeldung!$J$32)&lt;&gt;Anmeldung!$R$38),Anmeldung!$B$32&amp;": "&amp;Anmeldung!$D$32&amp;", "&amp;Anmeldung!$E$32&amp;" / "&amp;Anmeldung!$G$32&amp;" / "&amp;Anmeldung!$J$32,"")</f>
        <v/>
      </c>
      <c r="FJ19" t="str">
        <f>IF(AND(24&lt;&gt;30,Anmeldung!$D$32&lt;&gt;"",Anmeldung!$U$32="Ja",Anmeldung!$G$32=Anmeldung!$G$38,Anmeldung!$J$32=Anmeldung!$J$38),Anmeldung!$B$32&amp;": "&amp;Anmeldung!$D$32&amp;", "&amp;Anmeldung!$E$32&amp;" / "&amp;Anmeldung!$G$32&amp;" / "&amp;Anmeldung!$J$32,"")</f>
        <v/>
      </c>
      <c r="FM19" t="str">
        <f>IF(AND(25&lt;&gt;32,Anmeldung!$D$32&lt;&gt;"",Anmeldung!$G$32=Anmeldung!$G$39,Anmeldung!$J$32=Anmeldung!$J$39),Anmeldung!$B$32&amp;": "&amp;Anmeldung!$D$32&amp;", "&amp;Anmeldung!$E$32&amp;" / "&amp;Anmeldung!$G$32&amp;" / "&amp;Anmeldung!$J$32,"")</f>
        <v/>
      </c>
      <c r="FN19" t="str">
        <f>IF(AND(25&lt;&gt;32,Anmeldung!$D$32&lt;&gt;"",Anmeldung!$G$32=Anmeldung!$G$39,Anmeldung!$J$32=Anmeldung!$J$39,(Anmeldung!$B$32&amp;": "&amp;Anmeldung!$D$32&amp;", "&amp;Anmeldung!$E$32&amp;" / "&amp;Anmeldung!$G$32&amp;" / "&amp;Anmeldung!$J$32)&lt;&gt;Anmeldung!$P$39),Anmeldung!$B$32&amp;": "&amp;Anmeldung!$D$32&amp;", "&amp;Anmeldung!$E$32&amp;" / "&amp;Anmeldung!$G$32&amp;" / "&amp;Anmeldung!$J$32,"")</f>
        <v/>
      </c>
      <c r="FO19" t="str">
        <f>IF(AND(25&lt;&gt;32,Anmeldung!$D$32&lt;&gt;"",Anmeldung!$G$32=Anmeldung!$G$39,Anmeldung!$J$32=Anmeldung!$J$39,(Anmeldung!$B$32&amp;": "&amp;Anmeldung!$D$32&amp;", "&amp;Anmeldung!$E$32&amp;" / "&amp;Anmeldung!$G$32&amp;" / "&amp;Anmeldung!$J$32)&lt;&gt;Anmeldung!$O$39),Anmeldung!$B$32&amp;": "&amp;Anmeldung!$D$32&amp;", "&amp;Anmeldung!$E$32&amp;" / "&amp;Anmeldung!$G$32&amp;" / "&amp;Anmeldung!$J$32,"")</f>
        <v/>
      </c>
      <c r="FP19" t="str">
        <f>IF(AND(25&lt;&gt;32,Anmeldung!$D$32&lt;&gt;"",Anmeldung!$G$32&lt;&gt;Anmeldung!$G$39,(Anmeldung!$B$32&amp;": "&amp;Anmeldung!$D$32&amp;", "&amp;Anmeldung!$E$32&amp;" / "&amp;Anmeldung!$G$32&amp;" / "&amp;Anmeldung!$J$32)&lt;&gt;Anmeldung!$S$39),Anmeldung!$B$32&amp;": "&amp;Anmeldung!$D$32&amp;", "&amp;Anmeldung!$E$32&amp;" / "&amp;Anmeldung!$G$32&amp;" / "&amp;Anmeldung!$J$32,"")</f>
        <v/>
      </c>
      <c r="FQ19" t="str">
        <f>IF(AND(25&lt;&gt;32,Anmeldung!$D$32&lt;&gt;"",(Anmeldung!$B$32&amp;": "&amp;Anmeldung!$D$32&amp;", "&amp;Anmeldung!$E$32&amp;" / "&amp;Anmeldung!$G$32&amp;" / "&amp;Anmeldung!$J$32)&lt;&gt;Anmeldung!$R$39),Anmeldung!$B$32&amp;": "&amp;Anmeldung!$D$32&amp;", "&amp;Anmeldung!$E$32&amp;" / "&amp;Anmeldung!$G$32&amp;" / "&amp;Anmeldung!$J$32,"")</f>
        <v/>
      </c>
      <c r="FR19" t="str">
        <f>IF(AND(24&lt;&gt;31,Anmeldung!$D$32&lt;&gt;"",Anmeldung!$U$32="Ja",Anmeldung!$G$32=Anmeldung!$G$39,Anmeldung!$J$32=Anmeldung!$J$39),Anmeldung!$B$32&amp;": "&amp;Anmeldung!$D$32&amp;", "&amp;Anmeldung!$E$32&amp;" / "&amp;Anmeldung!$G$32&amp;" / "&amp;Anmeldung!$J$32,"")</f>
        <v/>
      </c>
      <c r="FU19" t="str">
        <f>IF(AND(25&lt;&gt;33,Anmeldung!$D$32&lt;&gt;"",Anmeldung!$G$32=Anmeldung!$G$40,Anmeldung!$J$32=Anmeldung!$J$40),Anmeldung!$B$32&amp;": "&amp;Anmeldung!$D$32&amp;", "&amp;Anmeldung!$E$32&amp;" / "&amp;Anmeldung!$G$32&amp;" / "&amp;Anmeldung!$J$32,"")</f>
        <v/>
      </c>
      <c r="FV19" t="str">
        <f>IF(AND(25&lt;&gt;33,Anmeldung!$D$32&lt;&gt;"",Anmeldung!$G$32=Anmeldung!$G$40,Anmeldung!$J$32=Anmeldung!$J$40,(Anmeldung!$B$32&amp;": "&amp;Anmeldung!$D$32&amp;", "&amp;Anmeldung!$E$32&amp;" / "&amp;Anmeldung!$G$32&amp;" / "&amp;Anmeldung!$J$32)&lt;&gt;Anmeldung!$P$40),Anmeldung!$B$32&amp;": "&amp;Anmeldung!$D$32&amp;", "&amp;Anmeldung!$E$32&amp;" / "&amp;Anmeldung!$G$32&amp;" / "&amp;Anmeldung!$J$32,"")</f>
        <v/>
      </c>
      <c r="FW19" t="str">
        <f>IF(AND(25&lt;&gt;33,Anmeldung!$D$32&lt;&gt;"",Anmeldung!$G$32=Anmeldung!$G$40,Anmeldung!$J$32=Anmeldung!$J$40,(Anmeldung!$B$32&amp;": "&amp;Anmeldung!$D$32&amp;", "&amp;Anmeldung!$E$32&amp;" / "&amp;Anmeldung!$G$32&amp;" / "&amp;Anmeldung!$J$32)&lt;&gt;Anmeldung!$O$40),Anmeldung!$B$32&amp;": "&amp;Anmeldung!$D$32&amp;", "&amp;Anmeldung!$E$32&amp;" / "&amp;Anmeldung!$G$32&amp;" / "&amp;Anmeldung!$J$32,"")</f>
        <v/>
      </c>
      <c r="FX19" t="str">
        <f>IF(AND(25&lt;&gt;33,Anmeldung!$D$32&lt;&gt;"",Anmeldung!$G$32&lt;&gt;Anmeldung!$G$40,(Anmeldung!$B$32&amp;": "&amp;Anmeldung!$D$32&amp;", "&amp;Anmeldung!$E$32&amp;" / "&amp;Anmeldung!$G$32&amp;" / "&amp;Anmeldung!$J$32)&lt;&gt;Anmeldung!$S$40),Anmeldung!$B$32&amp;": "&amp;Anmeldung!$D$32&amp;", "&amp;Anmeldung!$E$32&amp;" / "&amp;Anmeldung!$G$32&amp;" / "&amp;Anmeldung!$J$32,"")</f>
        <v/>
      </c>
      <c r="FY19" t="str">
        <f>IF(AND(25&lt;&gt;33,Anmeldung!$D$32&lt;&gt;"",(Anmeldung!$B$32&amp;": "&amp;Anmeldung!$D$32&amp;", "&amp;Anmeldung!$E$32&amp;" / "&amp;Anmeldung!$G$32&amp;" / "&amp;Anmeldung!$J$32)&lt;&gt;Anmeldung!$R$40),Anmeldung!$B$32&amp;": "&amp;Anmeldung!$D$32&amp;", "&amp;Anmeldung!$E$32&amp;" / "&amp;Anmeldung!$G$32&amp;" / "&amp;Anmeldung!$J$32,"")</f>
        <v/>
      </c>
      <c r="FZ19" t="str">
        <f>IF(AND(24&lt;&gt;32,Anmeldung!$D$32&lt;&gt;"",Anmeldung!$U$32="Ja",Anmeldung!$G$32=Anmeldung!$G$40,Anmeldung!$J$32=Anmeldung!$J$40),Anmeldung!$B$32&amp;": "&amp;Anmeldung!$D$32&amp;", "&amp;Anmeldung!$E$32&amp;" / "&amp;Anmeldung!$G$32&amp;" / "&amp;Anmeldung!$J$32,"")</f>
        <v/>
      </c>
      <c r="GC19" t="str">
        <f>IF(AND(25&lt;&gt;34,Anmeldung!$D$32&lt;&gt;"",Anmeldung!$G$32=Anmeldung!$G$41,Anmeldung!$J$32=Anmeldung!$J$41),Anmeldung!$B$32&amp;": "&amp;Anmeldung!$D$32&amp;", "&amp;Anmeldung!$E$32&amp;" / "&amp;Anmeldung!$G$32&amp;" / "&amp;Anmeldung!$J$32,"")</f>
        <v/>
      </c>
      <c r="GD19" t="str">
        <f>IF(AND(25&lt;&gt;34,Anmeldung!$D$32&lt;&gt;"",Anmeldung!$G$32=Anmeldung!$G$41,Anmeldung!$J$32=Anmeldung!$J$41,(Anmeldung!$B$32&amp;": "&amp;Anmeldung!$D$32&amp;", "&amp;Anmeldung!$E$32&amp;" / "&amp;Anmeldung!$G$32&amp;" / "&amp;Anmeldung!$J$32)&lt;&gt;Anmeldung!$P$41),Anmeldung!$B$32&amp;": "&amp;Anmeldung!$D$32&amp;", "&amp;Anmeldung!$E$32&amp;" / "&amp;Anmeldung!$G$32&amp;" / "&amp;Anmeldung!$J$32,"")</f>
        <v/>
      </c>
      <c r="GE19" t="str">
        <f>IF(AND(25&lt;&gt;34,Anmeldung!$D$32&lt;&gt;"",Anmeldung!$G$32=Anmeldung!$G$41,Anmeldung!$J$32=Anmeldung!$J$41,(Anmeldung!$B$32&amp;": "&amp;Anmeldung!$D$32&amp;", "&amp;Anmeldung!$E$32&amp;" / "&amp;Anmeldung!$G$32&amp;" / "&amp;Anmeldung!$J$32)&lt;&gt;Anmeldung!$O$41),Anmeldung!$B$32&amp;": "&amp;Anmeldung!$D$32&amp;", "&amp;Anmeldung!$E$32&amp;" / "&amp;Anmeldung!$G$32&amp;" / "&amp;Anmeldung!$J$32,"")</f>
        <v/>
      </c>
      <c r="GF19" t="str">
        <f>IF(AND(25&lt;&gt;34,Anmeldung!$D$32&lt;&gt;"",Anmeldung!$G$32&lt;&gt;Anmeldung!$G$41,(Anmeldung!$B$32&amp;": "&amp;Anmeldung!$D$32&amp;", "&amp;Anmeldung!$E$32&amp;" / "&amp;Anmeldung!$G$32&amp;" / "&amp;Anmeldung!$J$32)&lt;&gt;Anmeldung!$S$41),Anmeldung!$B$32&amp;": "&amp;Anmeldung!$D$32&amp;", "&amp;Anmeldung!$E$32&amp;" / "&amp;Anmeldung!$G$32&amp;" / "&amp;Anmeldung!$J$32,"")</f>
        <v/>
      </c>
      <c r="GG19" t="str">
        <f>IF(AND(25&lt;&gt;34,Anmeldung!$D$32&lt;&gt;"",(Anmeldung!$B$32&amp;": "&amp;Anmeldung!$D$32&amp;", "&amp;Anmeldung!$E$32&amp;" / "&amp;Anmeldung!$G$32&amp;" / "&amp;Anmeldung!$J$32)&lt;&gt;Anmeldung!$R$41),Anmeldung!$B$32&amp;": "&amp;Anmeldung!$D$32&amp;", "&amp;Anmeldung!$E$32&amp;" / "&amp;Anmeldung!$G$32&amp;" / "&amp;Anmeldung!$J$32,"")</f>
        <v/>
      </c>
      <c r="GH19" t="str">
        <f>IF(AND(24&lt;&gt;33,Anmeldung!$D$32&lt;&gt;"",Anmeldung!$U$32="Ja",Anmeldung!$G$32=Anmeldung!$G$41,Anmeldung!$J$32=Anmeldung!$J$41),Anmeldung!$B$32&amp;": "&amp;Anmeldung!$D$32&amp;", "&amp;Anmeldung!$E$32&amp;" / "&amp;Anmeldung!$G$32&amp;" / "&amp;Anmeldung!$J$32,"")</f>
        <v/>
      </c>
      <c r="GK19" t="str">
        <f>IF(AND(25&lt;&gt;35,Anmeldung!$D$32&lt;&gt;"",Anmeldung!$G$32=Anmeldung!$G$42,Anmeldung!$J$32=Anmeldung!$J$42),Anmeldung!$B$32&amp;": "&amp;Anmeldung!$D$32&amp;", "&amp;Anmeldung!$E$32&amp;" / "&amp;Anmeldung!$G$32&amp;" / "&amp;Anmeldung!$J$32,"")</f>
        <v/>
      </c>
      <c r="GL19" t="str">
        <f>IF(AND(25&lt;&gt;35,Anmeldung!$D$32&lt;&gt;"",Anmeldung!$G$32=Anmeldung!$G$42,Anmeldung!$J$32=Anmeldung!$J$42,(Anmeldung!$B$32&amp;": "&amp;Anmeldung!$D$32&amp;", "&amp;Anmeldung!$E$32&amp;" / "&amp;Anmeldung!$G$32&amp;" / "&amp;Anmeldung!$J$32)&lt;&gt;Anmeldung!$P$42),Anmeldung!$B$32&amp;": "&amp;Anmeldung!$D$32&amp;", "&amp;Anmeldung!$E$32&amp;" / "&amp;Anmeldung!$G$32&amp;" / "&amp;Anmeldung!$J$32,"")</f>
        <v/>
      </c>
      <c r="GM19" t="str">
        <f>IF(AND(25&lt;&gt;35,Anmeldung!$D$32&lt;&gt;"",Anmeldung!$G$32=Anmeldung!$G$42,Anmeldung!$J$32=Anmeldung!$J$42,(Anmeldung!$B$32&amp;": "&amp;Anmeldung!$D$32&amp;", "&amp;Anmeldung!$E$32&amp;" / "&amp;Anmeldung!$G$32&amp;" / "&amp;Anmeldung!$J$32)&lt;&gt;Anmeldung!$O$42),Anmeldung!$B$32&amp;": "&amp;Anmeldung!$D$32&amp;", "&amp;Anmeldung!$E$32&amp;" / "&amp;Anmeldung!$G$32&amp;" / "&amp;Anmeldung!$J$32,"")</f>
        <v/>
      </c>
      <c r="GN19" t="str">
        <f>IF(AND(25&lt;&gt;35,Anmeldung!$D$32&lt;&gt;"",Anmeldung!$G$32&lt;&gt;Anmeldung!$G$42,(Anmeldung!$B$32&amp;": "&amp;Anmeldung!$D$32&amp;", "&amp;Anmeldung!$E$32&amp;" / "&amp;Anmeldung!$G$32&amp;" / "&amp;Anmeldung!$J$32)&lt;&gt;Anmeldung!$S$42),Anmeldung!$B$32&amp;": "&amp;Anmeldung!$D$32&amp;", "&amp;Anmeldung!$E$32&amp;" / "&amp;Anmeldung!$G$32&amp;" / "&amp;Anmeldung!$J$32,"")</f>
        <v/>
      </c>
      <c r="GO19" t="str">
        <f>IF(AND(25&lt;&gt;35,Anmeldung!$D$32&lt;&gt;"",(Anmeldung!$B$32&amp;": "&amp;Anmeldung!$D$32&amp;", "&amp;Anmeldung!$E$32&amp;" / "&amp;Anmeldung!$G$32&amp;" / "&amp;Anmeldung!$J$32)&lt;&gt;Anmeldung!$R$42),Anmeldung!$B$32&amp;": "&amp;Anmeldung!$D$32&amp;", "&amp;Anmeldung!$E$32&amp;" / "&amp;Anmeldung!$G$32&amp;" / "&amp;Anmeldung!$J$32,"")</f>
        <v/>
      </c>
      <c r="GP19" t="str">
        <f>IF(AND(24&lt;&gt;34,Anmeldung!$D$32&lt;&gt;"",Anmeldung!$U$32="Ja",Anmeldung!$G$32=Anmeldung!$G$42,Anmeldung!$J$32=Anmeldung!$J$42),Anmeldung!$B$32&amp;": "&amp;Anmeldung!$D$32&amp;", "&amp;Anmeldung!$E$32&amp;" / "&amp;Anmeldung!$G$32&amp;" / "&amp;Anmeldung!$J$32,"")</f>
        <v/>
      </c>
      <c r="GS19" t="str">
        <f>IF(AND(25&lt;&gt;36,Anmeldung!$D$32&lt;&gt;"",Anmeldung!$G$32=Anmeldung!$G$43,Anmeldung!$J$32=Anmeldung!$J$43),Anmeldung!$B$32&amp;": "&amp;Anmeldung!$D$32&amp;", "&amp;Anmeldung!$E$32&amp;" / "&amp;Anmeldung!$G$32&amp;" / "&amp;Anmeldung!$J$32,"")</f>
        <v/>
      </c>
      <c r="GT19" t="str">
        <f>IF(AND(25&lt;&gt;36,Anmeldung!$D$32&lt;&gt;"",Anmeldung!$G$32=Anmeldung!$G$43,Anmeldung!$J$32=Anmeldung!$J$43,(Anmeldung!$B$32&amp;": "&amp;Anmeldung!$D$32&amp;", "&amp;Anmeldung!$E$32&amp;" / "&amp;Anmeldung!$G$32&amp;" / "&amp;Anmeldung!$J$32)&lt;&gt;Anmeldung!$P$43),Anmeldung!$B$32&amp;": "&amp;Anmeldung!$D$32&amp;", "&amp;Anmeldung!$E$32&amp;" / "&amp;Anmeldung!$G$32&amp;" / "&amp;Anmeldung!$J$32,"")</f>
        <v/>
      </c>
      <c r="GU19" t="str">
        <f>IF(AND(25&lt;&gt;36,Anmeldung!$D$32&lt;&gt;"",Anmeldung!$G$32=Anmeldung!$G$43,Anmeldung!$J$32=Anmeldung!$J$43,(Anmeldung!$B$32&amp;": "&amp;Anmeldung!$D$32&amp;", "&amp;Anmeldung!$E$32&amp;" / "&amp;Anmeldung!$G$32&amp;" / "&amp;Anmeldung!$J$32)&lt;&gt;Anmeldung!$O$43),Anmeldung!$B$32&amp;": "&amp;Anmeldung!$D$32&amp;", "&amp;Anmeldung!$E$32&amp;" / "&amp;Anmeldung!$G$32&amp;" / "&amp;Anmeldung!$J$32,"")</f>
        <v/>
      </c>
      <c r="GV19" t="str">
        <f>IF(AND(25&lt;&gt;36,Anmeldung!$D$32&lt;&gt;"",Anmeldung!$G$32&lt;&gt;Anmeldung!$G$43,(Anmeldung!$B$32&amp;": "&amp;Anmeldung!$D$32&amp;", "&amp;Anmeldung!$E$32&amp;" / "&amp;Anmeldung!$G$32&amp;" / "&amp;Anmeldung!$J$32)&lt;&gt;Anmeldung!$S$43),Anmeldung!$B$32&amp;": "&amp;Anmeldung!$D$32&amp;", "&amp;Anmeldung!$E$32&amp;" / "&amp;Anmeldung!$G$32&amp;" / "&amp;Anmeldung!$J$32,"")</f>
        <v/>
      </c>
      <c r="GW19" t="str">
        <f>IF(AND(25&lt;&gt;36,Anmeldung!$D$32&lt;&gt;"",(Anmeldung!$B$32&amp;": "&amp;Anmeldung!$D$32&amp;", "&amp;Anmeldung!$E$32&amp;" / "&amp;Anmeldung!$G$32&amp;" / "&amp;Anmeldung!$J$32)&lt;&gt;Anmeldung!$R$43),Anmeldung!$B$32&amp;": "&amp;Anmeldung!$D$32&amp;", "&amp;Anmeldung!$E$32&amp;" / "&amp;Anmeldung!$G$32&amp;" / "&amp;Anmeldung!$J$32,"")</f>
        <v/>
      </c>
      <c r="GX19" t="str">
        <f>IF(AND(24&lt;&gt;35,Anmeldung!$D$32&lt;&gt;"",Anmeldung!$U$32="Ja",Anmeldung!$G$32=Anmeldung!$G$43,Anmeldung!$J$32=Anmeldung!$J$43),Anmeldung!$B$32&amp;": "&amp;Anmeldung!$D$32&amp;", "&amp;Anmeldung!$E$32&amp;" / "&amp;Anmeldung!$G$32&amp;" / "&amp;Anmeldung!$J$32,"")</f>
        <v/>
      </c>
      <c r="HA19" t="str">
        <f>IF(AND(25&lt;&gt;37,Anmeldung!$D$32&lt;&gt;"",Anmeldung!$G$32=Anmeldung!$G$44,Anmeldung!$J$32=Anmeldung!$J$44),Anmeldung!$B$32&amp;": "&amp;Anmeldung!$D$32&amp;", "&amp;Anmeldung!$E$32&amp;" / "&amp;Anmeldung!$G$32&amp;" / "&amp;Anmeldung!$J$32,"")</f>
        <v/>
      </c>
      <c r="HB19" t="str">
        <f>IF(AND(25&lt;&gt;37,Anmeldung!$D$32&lt;&gt;"",Anmeldung!$G$32=Anmeldung!$G$44,Anmeldung!$J$32=Anmeldung!$J$44,(Anmeldung!$B$32&amp;": "&amp;Anmeldung!$D$32&amp;", "&amp;Anmeldung!$E$32&amp;" / "&amp;Anmeldung!$G$32&amp;" / "&amp;Anmeldung!$J$32)&lt;&gt;Anmeldung!$P$44),Anmeldung!$B$32&amp;": "&amp;Anmeldung!$D$32&amp;", "&amp;Anmeldung!$E$32&amp;" / "&amp;Anmeldung!$G$32&amp;" / "&amp;Anmeldung!$J$32,"")</f>
        <v/>
      </c>
      <c r="HC19" t="str">
        <f>IF(AND(25&lt;&gt;37,Anmeldung!$D$32&lt;&gt;"",Anmeldung!$G$32=Anmeldung!$G$44,Anmeldung!$J$32=Anmeldung!$J$44,(Anmeldung!$B$32&amp;": "&amp;Anmeldung!$D$32&amp;", "&amp;Anmeldung!$E$32&amp;" / "&amp;Anmeldung!$G$32&amp;" / "&amp;Anmeldung!$J$32)&lt;&gt;Anmeldung!$O$44),Anmeldung!$B$32&amp;": "&amp;Anmeldung!$D$32&amp;", "&amp;Anmeldung!$E$32&amp;" / "&amp;Anmeldung!$G$32&amp;" / "&amp;Anmeldung!$J$32,"")</f>
        <v/>
      </c>
      <c r="HD19" t="str">
        <f>IF(AND(25&lt;&gt;37,Anmeldung!$D$32&lt;&gt;"",Anmeldung!$G$32&lt;&gt;Anmeldung!$G$44,(Anmeldung!$B$32&amp;": "&amp;Anmeldung!$D$32&amp;", "&amp;Anmeldung!$E$32&amp;" / "&amp;Anmeldung!$G$32&amp;" / "&amp;Anmeldung!$J$32)&lt;&gt;Anmeldung!$S$44),Anmeldung!$B$32&amp;": "&amp;Anmeldung!$D$32&amp;", "&amp;Anmeldung!$E$32&amp;" / "&amp;Anmeldung!$G$32&amp;" / "&amp;Anmeldung!$J$32,"")</f>
        <v/>
      </c>
      <c r="HE19" t="str">
        <f>IF(AND(25&lt;&gt;37,Anmeldung!$D$32&lt;&gt;"",(Anmeldung!$B$32&amp;": "&amp;Anmeldung!$D$32&amp;", "&amp;Anmeldung!$E$32&amp;" / "&amp;Anmeldung!$G$32&amp;" / "&amp;Anmeldung!$J$32)&lt;&gt;Anmeldung!$R$44),Anmeldung!$B$32&amp;": "&amp;Anmeldung!$D$32&amp;", "&amp;Anmeldung!$E$32&amp;" / "&amp;Anmeldung!$G$32&amp;" / "&amp;Anmeldung!$J$32,"")</f>
        <v/>
      </c>
      <c r="HF19" t="str">
        <f>IF(AND(24&lt;&gt;36,Anmeldung!$D$32&lt;&gt;"",Anmeldung!$U$32="Ja",Anmeldung!$G$32=Anmeldung!$G$44,Anmeldung!$J$32=Anmeldung!$J$44),Anmeldung!$B$32&amp;": "&amp;Anmeldung!$D$32&amp;", "&amp;Anmeldung!$E$32&amp;" / "&amp;Anmeldung!$G$32&amp;" / "&amp;Anmeldung!$J$32,"")</f>
        <v/>
      </c>
      <c r="HI19" t="str">
        <f>IF(AND(25&lt;&gt;38,Anmeldung!$D$32&lt;&gt;"",Anmeldung!$G$32=Anmeldung!$G$45,Anmeldung!$J$32=Anmeldung!$J$45),Anmeldung!$B$32&amp;": "&amp;Anmeldung!$D$32&amp;", "&amp;Anmeldung!$E$32&amp;" / "&amp;Anmeldung!$G$32&amp;" / "&amp;Anmeldung!$J$32,"")</f>
        <v/>
      </c>
      <c r="HJ19" t="str">
        <f>IF(AND(25&lt;&gt;38,Anmeldung!$D$32&lt;&gt;"",Anmeldung!$G$32=Anmeldung!$G$45,Anmeldung!$J$32=Anmeldung!$J$45,(Anmeldung!$B$32&amp;": "&amp;Anmeldung!$D$32&amp;", "&amp;Anmeldung!$E$32&amp;" / "&amp;Anmeldung!$G$32&amp;" / "&amp;Anmeldung!$J$32)&lt;&gt;Anmeldung!$P$45),Anmeldung!$B$32&amp;": "&amp;Anmeldung!$D$32&amp;", "&amp;Anmeldung!$E$32&amp;" / "&amp;Anmeldung!$G$32&amp;" / "&amp;Anmeldung!$J$32,"")</f>
        <v/>
      </c>
      <c r="HK19" t="str">
        <f>IF(AND(25&lt;&gt;38,Anmeldung!$D$32&lt;&gt;"",Anmeldung!$G$32=Anmeldung!$G$45,Anmeldung!$J$32=Anmeldung!$J$45,(Anmeldung!$B$32&amp;": "&amp;Anmeldung!$D$32&amp;", "&amp;Anmeldung!$E$32&amp;" / "&amp;Anmeldung!$G$32&amp;" / "&amp;Anmeldung!$J$32)&lt;&gt;Anmeldung!$O$45),Anmeldung!$B$32&amp;": "&amp;Anmeldung!$D$32&amp;", "&amp;Anmeldung!$E$32&amp;" / "&amp;Anmeldung!$G$32&amp;" / "&amp;Anmeldung!$J$32,"")</f>
        <v/>
      </c>
      <c r="HL19" t="str">
        <f>IF(AND(25&lt;&gt;38,Anmeldung!$D$32&lt;&gt;"",Anmeldung!$G$32&lt;&gt;Anmeldung!$G$45,(Anmeldung!$B$32&amp;": "&amp;Anmeldung!$D$32&amp;", "&amp;Anmeldung!$E$32&amp;" / "&amp;Anmeldung!$G$32&amp;" / "&amp;Anmeldung!$J$32)&lt;&gt;Anmeldung!$S$45),Anmeldung!$B$32&amp;": "&amp;Anmeldung!$D$32&amp;", "&amp;Anmeldung!$E$32&amp;" / "&amp;Anmeldung!$G$32&amp;" / "&amp;Anmeldung!$J$32,"")</f>
        <v/>
      </c>
      <c r="HM19" t="str">
        <f>IF(AND(25&lt;&gt;38,Anmeldung!$D$32&lt;&gt;"",(Anmeldung!$B$32&amp;": "&amp;Anmeldung!$D$32&amp;", "&amp;Anmeldung!$E$32&amp;" / "&amp;Anmeldung!$G$32&amp;" / "&amp;Anmeldung!$J$32)&lt;&gt;Anmeldung!$R$45),Anmeldung!$B$32&amp;": "&amp;Anmeldung!$D$32&amp;", "&amp;Anmeldung!$E$32&amp;" / "&amp;Anmeldung!$G$32&amp;" / "&amp;Anmeldung!$J$32,"")</f>
        <v/>
      </c>
      <c r="HN19" t="str">
        <f>IF(AND(24&lt;&gt;37,Anmeldung!$D$32&lt;&gt;"",Anmeldung!$U$32="Ja",Anmeldung!$G$32=Anmeldung!$G$45,Anmeldung!$J$32=Anmeldung!$J$45),Anmeldung!$B$32&amp;": "&amp;Anmeldung!$D$32&amp;", "&amp;Anmeldung!$E$32&amp;" / "&amp;Anmeldung!$G$32&amp;" / "&amp;Anmeldung!$J$32,"")</f>
        <v/>
      </c>
      <c r="HQ19" t="str">
        <f>IF(AND(25&lt;&gt;39,Anmeldung!$D$32&lt;&gt;"",Anmeldung!$G$32=Anmeldung!$G$46,Anmeldung!$J$32=Anmeldung!$J$46),Anmeldung!$B$32&amp;": "&amp;Anmeldung!$D$32&amp;", "&amp;Anmeldung!$E$32&amp;" / "&amp;Anmeldung!$G$32&amp;" / "&amp;Anmeldung!$J$32,"")</f>
        <v/>
      </c>
      <c r="HR19" t="str">
        <f>IF(AND(25&lt;&gt;39,Anmeldung!$D$32&lt;&gt;"",Anmeldung!$G$32=Anmeldung!$G$46,Anmeldung!$J$32=Anmeldung!$J$46,(Anmeldung!$B$32&amp;": "&amp;Anmeldung!$D$32&amp;", "&amp;Anmeldung!$E$32&amp;" / "&amp;Anmeldung!$G$32&amp;" / "&amp;Anmeldung!$J$32)&lt;&gt;Anmeldung!$P$46),Anmeldung!$B$32&amp;": "&amp;Anmeldung!$D$32&amp;", "&amp;Anmeldung!$E$32&amp;" / "&amp;Anmeldung!$G$32&amp;" / "&amp;Anmeldung!$J$32,"")</f>
        <v/>
      </c>
      <c r="HS19" t="str">
        <f>IF(AND(25&lt;&gt;39,Anmeldung!$D$32&lt;&gt;"",Anmeldung!$G$32=Anmeldung!$G$46,Anmeldung!$J$32=Anmeldung!$J$46,(Anmeldung!$B$32&amp;": "&amp;Anmeldung!$D$32&amp;", "&amp;Anmeldung!$E$32&amp;" / "&amp;Anmeldung!$G$32&amp;" / "&amp;Anmeldung!$J$32)&lt;&gt;Anmeldung!$O$46),Anmeldung!$B$32&amp;": "&amp;Anmeldung!$D$32&amp;", "&amp;Anmeldung!$E$32&amp;" / "&amp;Anmeldung!$G$32&amp;" / "&amp;Anmeldung!$J$32,"")</f>
        <v/>
      </c>
      <c r="HT19" t="str">
        <f>IF(AND(25&lt;&gt;39,Anmeldung!$D$32&lt;&gt;"",Anmeldung!$G$32&lt;&gt;Anmeldung!$G$46,(Anmeldung!$B$32&amp;": "&amp;Anmeldung!$D$32&amp;", "&amp;Anmeldung!$E$32&amp;" / "&amp;Anmeldung!$G$32&amp;" / "&amp;Anmeldung!$J$32)&lt;&gt;Anmeldung!$S$46),Anmeldung!$B$32&amp;": "&amp;Anmeldung!$D$32&amp;", "&amp;Anmeldung!$E$32&amp;" / "&amp;Anmeldung!$G$32&amp;" / "&amp;Anmeldung!$J$32,"")</f>
        <v/>
      </c>
      <c r="HU19" t="str">
        <f>IF(AND(25&lt;&gt;39,Anmeldung!$D$32&lt;&gt;"",(Anmeldung!$B$32&amp;": "&amp;Anmeldung!$D$32&amp;", "&amp;Anmeldung!$E$32&amp;" / "&amp;Anmeldung!$G$32&amp;" / "&amp;Anmeldung!$J$32)&lt;&gt;Anmeldung!$R$46),Anmeldung!$B$32&amp;": "&amp;Anmeldung!$D$32&amp;", "&amp;Anmeldung!$E$32&amp;" / "&amp;Anmeldung!$G$32&amp;" / "&amp;Anmeldung!$J$32,"")</f>
        <v/>
      </c>
      <c r="HV19" t="str">
        <f>IF(AND(24&lt;&gt;38,Anmeldung!$D$32&lt;&gt;"",Anmeldung!$U$32="Ja",Anmeldung!$G$32=Anmeldung!$G$46,Anmeldung!$J$32=Anmeldung!$J$46),Anmeldung!$B$32&amp;": "&amp;Anmeldung!$D$32&amp;", "&amp;Anmeldung!$E$32&amp;" / "&amp;Anmeldung!$G$32&amp;" / "&amp;Anmeldung!$J$32,"")</f>
        <v/>
      </c>
      <c r="HY19" t="str">
        <f>IF(AND(25&lt;&gt;40,Anmeldung!$D$32&lt;&gt;"",Anmeldung!$G$32=Anmeldung!$G$47,Anmeldung!$J$32=Anmeldung!$J$47),Anmeldung!$B$32&amp;": "&amp;Anmeldung!$D$32&amp;", "&amp;Anmeldung!$E$32&amp;" / "&amp;Anmeldung!$G$32&amp;" / "&amp;Anmeldung!$J$32,"")</f>
        <v/>
      </c>
      <c r="HZ19" t="str">
        <f>IF(AND(25&lt;&gt;40,Anmeldung!$D$32&lt;&gt;"",Anmeldung!$G$32=Anmeldung!$G$47,Anmeldung!$J$32=Anmeldung!$J$47,(Anmeldung!$B$32&amp;": "&amp;Anmeldung!$D$32&amp;", "&amp;Anmeldung!$E$32&amp;" / "&amp;Anmeldung!$G$32&amp;" / "&amp;Anmeldung!$J$32)&lt;&gt;Anmeldung!$P$47),Anmeldung!$B$32&amp;": "&amp;Anmeldung!$D$32&amp;", "&amp;Anmeldung!$E$32&amp;" / "&amp;Anmeldung!$G$32&amp;" / "&amp;Anmeldung!$J$32,"")</f>
        <v/>
      </c>
      <c r="IA19" t="str">
        <f>IF(AND(25&lt;&gt;40,Anmeldung!$D$32&lt;&gt;"",Anmeldung!$G$32=Anmeldung!$G$47,Anmeldung!$J$32=Anmeldung!$J$47,(Anmeldung!$B$32&amp;": "&amp;Anmeldung!$D$32&amp;", "&amp;Anmeldung!$E$32&amp;" / "&amp;Anmeldung!$G$32&amp;" / "&amp;Anmeldung!$J$32)&lt;&gt;Anmeldung!$O$47),Anmeldung!$B$32&amp;": "&amp;Anmeldung!$D$32&amp;", "&amp;Anmeldung!$E$32&amp;" / "&amp;Anmeldung!$G$32&amp;" / "&amp;Anmeldung!$J$32,"")</f>
        <v/>
      </c>
      <c r="IB19" t="str">
        <f>IF(AND(25&lt;&gt;40,Anmeldung!$D$32&lt;&gt;"",Anmeldung!$G$32&lt;&gt;Anmeldung!$G$47,(Anmeldung!$B$32&amp;": "&amp;Anmeldung!$D$32&amp;", "&amp;Anmeldung!$E$32&amp;" / "&amp;Anmeldung!$G$32&amp;" / "&amp;Anmeldung!$J$32)&lt;&gt;Anmeldung!$S$47),Anmeldung!$B$32&amp;": "&amp;Anmeldung!$D$32&amp;", "&amp;Anmeldung!$E$32&amp;" / "&amp;Anmeldung!$G$32&amp;" / "&amp;Anmeldung!$J$32,"")</f>
        <v/>
      </c>
      <c r="IC19" t="str">
        <f>IF(AND(25&lt;&gt;40,Anmeldung!$D$32&lt;&gt;"",(Anmeldung!$B$32&amp;": "&amp;Anmeldung!$D$32&amp;", "&amp;Anmeldung!$E$32&amp;" / "&amp;Anmeldung!$G$32&amp;" / "&amp;Anmeldung!$J$32)&lt;&gt;Anmeldung!$R$47),Anmeldung!$B$32&amp;": "&amp;Anmeldung!$D$32&amp;", "&amp;Anmeldung!$E$32&amp;" / "&amp;Anmeldung!$G$32&amp;" / "&amp;Anmeldung!$J$32,"")</f>
        <v/>
      </c>
      <c r="ID19" t="str">
        <f>IF(AND(24&lt;&gt;39,Anmeldung!$D$32&lt;&gt;"",Anmeldung!$U$32="Ja",Anmeldung!$G$32=Anmeldung!$G$47,Anmeldung!$J$32=Anmeldung!$J$47),Anmeldung!$B$32&amp;": "&amp;Anmeldung!$D$32&amp;", "&amp;Anmeldung!$E$32&amp;" / "&amp;Anmeldung!$G$32&amp;" / "&amp;Anmeldung!$J$32,"")</f>
        <v/>
      </c>
    </row>
    <row r="20" spans="1:238" ht="14.25" customHeight="1" x14ac:dyDescent="0.3">
      <c r="A20" t="str">
        <f>IF(AND(26&lt;&gt;11,Anmeldung!$D$33&lt;&gt;"",Anmeldung!$G$33=Anmeldung!$G$18,Anmeldung!$J$33=Anmeldung!$J$18),Anmeldung!$B$33&amp;": "&amp;Anmeldung!$D$33&amp;", "&amp;Anmeldung!$E$33&amp;" / "&amp;Anmeldung!$G$33&amp;" / "&amp;Anmeldung!$J$33,"")</f>
        <v/>
      </c>
      <c r="B20" t="str">
        <f>IF(AND(26&lt;&gt;11,Anmeldung!$D$33&lt;&gt;"",Anmeldung!$G$33=Anmeldung!$G$18,Anmeldung!$J$33=Anmeldung!$J$18,(Anmeldung!$B$33&amp;": "&amp;Anmeldung!$D$33&amp;", "&amp;Anmeldung!$E$33&amp;" / "&amp;Anmeldung!$G$33&amp;" / "&amp;Anmeldung!$J$33)&lt;&gt;Anmeldung!$P$18),Anmeldung!$B$33&amp;": "&amp;Anmeldung!$D$33&amp;", "&amp;Anmeldung!$E$33&amp;" / "&amp;Anmeldung!$G$33&amp;" / "&amp;Anmeldung!$J$33,"")</f>
        <v/>
      </c>
      <c r="C20" t="str">
        <f>IF(AND(26&lt;&gt;11,Anmeldung!$D$33&lt;&gt;"",Anmeldung!$G$33=Anmeldung!$G$18,Anmeldung!$J$33=Anmeldung!$J$18,(Anmeldung!$B$33&amp;": "&amp;Anmeldung!$D$33&amp;", "&amp;Anmeldung!$E$33&amp;" / "&amp;Anmeldung!$G$33&amp;" / "&amp;Anmeldung!$J$33)&lt;&gt;Anmeldung!$O$18),Anmeldung!$B$33&amp;": "&amp;Anmeldung!$D$33&amp;", "&amp;Anmeldung!$E$33&amp;" / "&amp;Anmeldung!$G$33&amp;" / "&amp;Anmeldung!$J$33,"")</f>
        <v/>
      </c>
      <c r="D20" t="str">
        <f>IF(AND(26&lt;&gt;11,Anmeldung!$D$33&lt;&gt;"",Anmeldung!$G$33&lt;&gt;Anmeldung!$G$18,(Anmeldung!$B$33&amp;": "&amp;Anmeldung!$D$33&amp;", "&amp;Anmeldung!$E$33&amp;" / "&amp;Anmeldung!$G$33&amp;" / "&amp;Anmeldung!$J$33)&lt;&gt;Anmeldung!$S$18),Anmeldung!$B$33&amp;": "&amp;Anmeldung!$D$33&amp;", "&amp;Anmeldung!$E$33&amp;" / "&amp;Anmeldung!$G$33&amp;" / "&amp;Anmeldung!$J$33,"")</f>
        <v/>
      </c>
      <c r="E20" t="str">
        <f>IF(AND(26&lt;&gt;11,Anmeldung!$D$33&lt;&gt;"",(Anmeldung!$B$33&amp;": "&amp;Anmeldung!$D$33&amp;", "&amp;Anmeldung!$E$33&amp;" / "&amp;Anmeldung!$G$33&amp;" / "&amp;Anmeldung!$J$33)&lt;&gt;Anmeldung!$R$18),Anmeldung!$B$33&amp;": "&amp;Anmeldung!$D$33&amp;", "&amp;Anmeldung!$E$33&amp;" / "&amp;Anmeldung!$G$33&amp;" / "&amp;Anmeldung!$J$33,"")</f>
        <v/>
      </c>
      <c r="F20" t="str">
        <f>IF(AND(25&lt;&gt;10,Anmeldung!$D$33&lt;&gt;"",Anmeldung!$U$33="Ja",Anmeldung!$G$33=Anmeldung!$G$18,Anmeldung!$J$33=Anmeldung!$J$18),Anmeldung!$B$33&amp;": "&amp;Anmeldung!$D$33&amp;", "&amp;Anmeldung!$E$33&amp;" / "&amp;Anmeldung!$G$33&amp;" / "&amp;Anmeldung!$J$33,"")</f>
        <v/>
      </c>
      <c r="I20" t="str">
        <f>IF(AND(26&lt;&gt;12,Anmeldung!$D$33&lt;&gt;"",Anmeldung!$G$33=Anmeldung!$G$19,Anmeldung!$J$33=Anmeldung!$J$19),Anmeldung!$B$33&amp;": "&amp;Anmeldung!$D$33&amp;", "&amp;Anmeldung!$E$33&amp;" / "&amp;Anmeldung!$G$33&amp;" / "&amp;Anmeldung!$J$33,"")</f>
        <v/>
      </c>
      <c r="J20" t="str">
        <f>IF(AND(26&lt;&gt;12,Anmeldung!$D$33&lt;&gt;"",Anmeldung!$G$33=Anmeldung!$G$19,Anmeldung!$J$33=Anmeldung!$J$19,(Anmeldung!$B$33&amp;": "&amp;Anmeldung!$D$33&amp;", "&amp;Anmeldung!$E$33&amp;" / "&amp;Anmeldung!$G$33&amp;" / "&amp;Anmeldung!$J$33)&lt;&gt;Anmeldung!$P$19),Anmeldung!$B$33&amp;": "&amp;Anmeldung!$D$33&amp;", "&amp;Anmeldung!$E$33&amp;" / "&amp;Anmeldung!$G$33&amp;" / "&amp;Anmeldung!$J$33,"")</f>
        <v/>
      </c>
      <c r="K20" t="str">
        <f>IF(AND(26&lt;&gt;12,Anmeldung!$D$33&lt;&gt;"",Anmeldung!$G$33=Anmeldung!$G$19,Anmeldung!$J$33=Anmeldung!$J$19,(Anmeldung!$B$33&amp;": "&amp;Anmeldung!$D$33&amp;", "&amp;Anmeldung!$E$33&amp;" / "&amp;Anmeldung!$G$33&amp;" / "&amp;Anmeldung!$J$33)&lt;&gt;Anmeldung!$O$19),Anmeldung!$B$33&amp;": "&amp;Anmeldung!$D$33&amp;", "&amp;Anmeldung!$E$33&amp;" / "&amp;Anmeldung!$G$33&amp;" / "&amp;Anmeldung!$J$33,"")</f>
        <v/>
      </c>
      <c r="L20" t="str">
        <f>IF(AND(26&lt;&gt;12,Anmeldung!$D$33&lt;&gt;"",Anmeldung!$G$33&lt;&gt;Anmeldung!$G$19,(Anmeldung!$B$33&amp;": "&amp;Anmeldung!$D$33&amp;", "&amp;Anmeldung!$E$33&amp;" / "&amp;Anmeldung!$G$33&amp;" / "&amp;Anmeldung!$J$33)&lt;&gt;Anmeldung!$S$19),Anmeldung!$B$33&amp;": "&amp;Anmeldung!$D$33&amp;", "&amp;Anmeldung!$E$33&amp;" / "&amp;Anmeldung!$G$33&amp;" / "&amp;Anmeldung!$J$33,"")</f>
        <v/>
      </c>
      <c r="M20" t="str">
        <f>IF(AND(26&lt;&gt;12,Anmeldung!$D$33&lt;&gt;"",(Anmeldung!$B$33&amp;": "&amp;Anmeldung!$D$33&amp;", "&amp;Anmeldung!$E$33&amp;" / "&amp;Anmeldung!$G$33&amp;" / "&amp;Anmeldung!$J$33)&lt;&gt;Anmeldung!$R$19),Anmeldung!$B$33&amp;": "&amp;Anmeldung!$D$33&amp;", "&amp;Anmeldung!$E$33&amp;" / "&amp;Anmeldung!$G$33&amp;" / "&amp;Anmeldung!$J$33,"")</f>
        <v/>
      </c>
      <c r="N20" t="str">
        <f>IF(AND(25&lt;&gt;11,Anmeldung!$D$33&lt;&gt;"",Anmeldung!$U$33="Ja",Anmeldung!$G$33=Anmeldung!$G$19,Anmeldung!$J$33=Anmeldung!$J$19),Anmeldung!$B$33&amp;": "&amp;Anmeldung!$D$33&amp;", "&amp;Anmeldung!$E$33&amp;" / "&amp;Anmeldung!$G$33&amp;" / "&amp;Anmeldung!$J$33,"")</f>
        <v/>
      </c>
      <c r="Q20" t="str">
        <f>IF(AND(26&lt;&gt;13,Anmeldung!$D$33&lt;&gt;"",Anmeldung!$G$33=Anmeldung!$G$20,Anmeldung!$J$33=Anmeldung!$J$20),Anmeldung!$B$33&amp;": "&amp;Anmeldung!$D$33&amp;", "&amp;Anmeldung!$E$33&amp;" / "&amp;Anmeldung!$G$33&amp;" / "&amp;Anmeldung!$J$33,"")</f>
        <v/>
      </c>
      <c r="R20" t="str">
        <f>IF(AND(26&lt;&gt;13,Anmeldung!$D$33&lt;&gt;"",Anmeldung!$G$33=Anmeldung!$G$20,Anmeldung!$J$33=Anmeldung!$J$20,(Anmeldung!$B$33&amp;": "&amp;Anmeldung!$D$33&amp;", "&amp;Anmeldung!$E$33&amp;" / "&amp;Anmeldung!$G$33&amp;" / "&amp;Anmeldung!$J$33)&lt;&gt;Anmeldung!$P$20),Anmeldung!$B$33&amp;": "&amp;Anmeldung!$D$33&amp;", "&amp;Anmeldung!$E$33&amp;" / "&amp;Anmeldung!$G$33&amp;" / "&amp;Anmeldung!$J$33,"")</f>
        <v/>
      </c>
      <c r="S20" t="str">
        <f>IF(AND(26&lt;&gt;13,Anmeldung!$D$33&lt;&gt;"",Anmeldung!$G$33=Anmeldung!$G$20,Anmeldung!$J$33=Anmeldung!$J$20,(Anmeldung!$B$33&amp;": "&amp;Anmeldung!$D$33&amp;", "&amp;Anmeldung!$E$33&amp;" / "&amp;Anmeldung!$G$33&amp;" / "&amp;Anmeldung!$J$33)&lt;&gt;Anmeldung!$O$20),Anmeldung!$B$33&amp;": "&amp;Anmeldung!$D$33&amp;", "&amp;Anmeldung!$E$33&amp;" / "&amp;Anmeldung!$G$33&amp;" / "&amp;Anmeldung!$J$33,"")</f>
        <v/>
      </c>
      <c r="T20" t="str">
        <f>IF(AND(26&lt;&gt;13,Anmeldung!$D$33&lt;&gt;"",Anmeldung!$G$33&lt;&gt;Anmeldung!$G$20,(Anmeldung!$B$33&amp;": "&amp;Anmeldung!$D$33&amp;", "&amp;Anmeldung!$E$33&amp;" / "&amp;Anmeldung!$G$33&amp;" / "&amp;Anmeldung!$J$33)&lt;&gt;Anmeldung!$S$20),Anmeldung!$B$33&amp;": "&amp;Anmeldung!$D$33&amp;", "&amp;Anmeldung!$E$33&amp;" / "&amp;Anmeldung!$G$33&amp;" / "&amp;Anmeldung!$J$33,"")</f>
        <v/>
      </c>
      <c r="U20" t="str">
        <f>IF(AND(26&lt;&gt;13,Anmeldung!$D$33&lt;&gt;"",(Anmeldung!$B$33&amp;": "&amp;Anmeldung!$D$33&amp;", "&amp;Anmeldung!$E$33&amp;" / "&amp;Anmeldung!$G$33&amp;" / "&amp;Anmeldung!$J$33)&lt;&gt;Anmeldung!$R$20),Anmeldung!$B$33&amp;": "&amp;Anmeldung!$D$33&amp;", "&amp;Anmeldung!$E$33&amp;" / "&amp;Anmeldung!$G$33&amp;" / "&amp;Anmeldung!$J$33,"")</f>
        <v/>
      </c>
      <c r="V20" t="str">
        <f>IF(AND(25&lt;&gt;12,Anmeldung!$D$33&lt;&gt;"",Anmeldung!$U$33="Ja",Anmeldung!$G$33=Anmeldung!$G$20,Anmeldung!$J$33=Anmeldung!$J$20),Anmeldung!$B$33&amp;": "&amp;Anmeldung!$D$33&amp;", "&amp;Anmeldung!$E$33&amp;" / "&amp;Anmeldung!$G$33&amp;" / "&amp;Anmeldung!$J$33,"")</f>
        <v/>
      </c>
      <c r="Y20" t="str">
        <f>IF(AND(26&lt;&gt;14,Anmeldung!$D$33&lt;&gt;"",Anmeldung!$G$33=Anmeldung!$G$21,Anmeldung!$J$33=Anmeldung!$J$21),Anmeldung!$B$33&amp;": "&amp;Anmeldung!$D$33&amp;", "&amp;Anmeldung!$E$33&amp;" / "&amp;Anmeldung!$G$33&amp;" / "&amp;Anmeldung!$J$33,"")</f>
        <v/>
      </c>
      <c r="Z20" t="str">
        <f>IF(AND(26&lt;&gt;14,Anmeldung!$D$33&lt;&gt;"",Anmeldung!$G$33=Anmeldung!$G$21,Anmeldung!$J$33=Anmeldung!$J$21,(Anmeldung!$B$33&amp;": "&amp;Anmeldung!$D$33&amp;", "&amp;Anmeldung!$E$33&amp;" / "&amp;Anmeldung!$G$33&amp;" / "&amp;Anmeldung!$J$33)&lt;&gt;Anmeldung!$P$21),Anmeldung!$B$33&amp;": "&amp;Anmeldung!$D$33&amp;", "&amp;Anmeldung!$E$33&amp;" / "&amp;Anmeldung!$G$33&amp;" / "&amp;Anmeldung!$J$33,"")</f>
        <v/>
      </c>
      <c r="AA20" t="str">
        <f>IF(AND(26&lt;&gt;14,Anmeldung!$D$33&lt;&gt;"",Anmeldung!$G$33=Anmeldung!$G$21,Anmeldung!$J$33=Anmeldung!$J$21,(Anmeldung!$B$33&amp;": "&amp;Anmeldung!$D$33&amp;", "&amp;Anmeldung!$E$33&amp;" / "&amp;Anmeldung!$G$33&amp;" / "&amp;Anmeldung!$J$33)&lt;&gt;Anmeldung!$O$21),Anmeldung!$B$33&amp;": "&amp;Anmeldung!$D$33&amp;", "&amp;Anmeldung!$E$33&amp;" / "&amp;Anmeldung!$G$33&amp;" / "&amp;Anmeldung!$J$33,"")</f>
        <v/>
      </c>
      <c r="AB20" t="str">
        <f>IF(AND(26&lt;&gt;14,Anmeldung!$D$33&lt;&gt;"",Anmeldung!$G$33&lt;&gt;Anmeldung!$G$21,(Anmeldung!$B$33&amp;": "&amp;Anmeldung!$D$33&amp;", "&amp;Anmeldung!$E$33&amp;" / "&amp;Anmeldung!$G$33&amp;" / "&amp;Anmeldung!$J$33)&lt;&gt;Anmeldung!$S$21),Anmeldung!$B$33&amp;": "&amp;Anmeldung!$D$33&amp;", "&amp;Anmeldung!$E$33&amp;" / "&amp;Anmeldung!$G$33&amp;" / "&amp;Anmeldung!$J$33,"")</f>
        <v/>
      </c>
      <c r="AC20" t="str">
        <f>IF(AND(26&lt;&gt;14,Anmeldung!$D$33&lt;&gt;"",(Anmeldung!$B$33&amp;": "&amp;Anmeldung!$D$33&amp;", "&amp;Anmeldung!$E$33&amp;" / "&amp;Anmeldung!$G$33&amp;" / "&amp;Anmeldung!$J$33)&lt;&gt;Anmeldung!$R$21),Anmeldung!$B$33&amp;": "&amp;Anmeldung!$D$33&amp;", "&amp;Anmeldung!$E$33&amp;" / "&amp;Anmeldung!$G$33&amp;" / "&amp;Anmeldung!$J$33,"")</f>
        <v/>
      </c>
      <c r="AD20" t="str">
        <f>IF(AND(25&lt;&gt;13,Anmeldung!$D$33&lt;&gt;"",Anmeldung!$U$33="Ja",Anmeldung!$G$33=Anmeldung!$G$21,Anmeldung!$J$33=Anmeldung!$J$21),Anmeldung!$B$33&amp;": "&amp;Anmeldung!$D$33&amp;", "&amp;Anmeldung!$E$33&amp;" / "&amp;Anmeldung!$G$33&amp;" / "&amp;Anmeldung!$J$33,"")</f>
        <v/>
      </c>
      <c r="AG20" t="str">
        <f>IF(AND(26&lt;&gt;15,Anmeldung!$D$33&lt;&gt;"",Anmeldung!$G$33=Anmeldung!$G$22,Anmeldung!$J$33=Anmeldung!$J$22),Anmeldung!$B$33&amp;": "&amp;Anmeldung!$D$33&amp;", "&amp;Anmeldung!$E$33&amp;" / "&amp;Anmeldung!$G$33&amp;" / "&amp;Anmeldung!$J$33,"")</f>
        <v/>
      </c>
      <c r="AH20" t="str">
        <f>IF(AND(26&lt;&gt;15,Anmeldung!$D$33&lt;&gt;"",Anmeldung!$G$33=Anmeldung!$G$22,Anmeldung!$J$33=Anmeldung!$J$22,(Anmeldung!$B$33&amp;": "&amp;Anmeldung!$D$33&amp;", "&amp;Anmeldung!$E$33&amp;" / "&amp;Anmeldung!$G$33&amp;" / "&amp;Anmeldung!$J$33)&lt;&gt;Anmeldung!$P$22),Anmeldung!$B$33&amp;": "&amp;Anmeldung!$D$33&amp;", "&amp;Anmeldung!$E$33&amp;" / "&amp;Anmeldung!$G$33&amp;" / "&amp;Anmeldung!$J$33,"")</f>
        <v/>
      </c>
      <c r="AI20" t="str">
        <f>IF(AND(26&lt;&gt;15,Anmeldung!$D$33&lt;&gt;"",Anmeldung!$G$33=Anmeldung!$G$22,Anmeldung!$J$33=Anmeldung!$J$22,(Anmeldung!$B$33&amp;": "&amp;Anmeldung!$D$33&amp;", "&amp;Anmeldung!$E$33&amp;" / "&amp;Anmeldung!$G$33&amp;" / "&amp;Anmeldung!$J$33)&lt;&gt;Anmeldung!$O$22),Anmeldung!$B$33&amp;": "&amp;Anmeldung!$D$33&amp;", "&amp;Anmeldung!$E$33&amp;" / "&amp;Anmeldung!$G$33&amp;" / "&amp;Anmeldung!$J$33,"")</f>
        <v/>
      </c>
      <c r="AJ20" t="str">
        <f>IF(AND(26&lt;&gt;15,Anmeldung!$D$33&lt;&gt;"",Anmeldung!$G$33&lt;&gt;Anmeldung!$G$22,(Anmeldung!$B$33&amp;": "&amp;Anmeldung!$D$33&amp;", "&amp;Anmeldung!$E$33&amp;" / "&amp;Anmeldung!$G$33&amp;" / "&amp;Anmeldung!$J$33)&lt;&gt;Anmeldung!$S$22),Anmeldung!$B$33&amp;": "&amp;Anmeldung!$D$33&amp;", "&amp;Anmeldung!$E$33&amp;" / "&amp;Anmeldung!$G$33&amp;" / "&amp;Anmeldung!$J$33,"")</f>
        <v/>
      </c>
      <c r="AK20" t="str">
        <f>IF(AND(26&lt;&gt;15,Anmeldung!$D$33&lt;&gt;"",(Anmeldung!$B$33&amp;": "&amp;Anmeldung!$D$33&amp;", "&amp;Anmeldung!$E$33&amp;" / "&amp;Anmeldung!$G$33&amp;" / "&amp;Anmeldung!$J$33)&lt;&gt;Anmeldung!$R$22),Anmeldung!$B$33&amp;": "&amp;Anmeldung!$D$33&amp;", "&amp;Anmeldung!$E$33&amp;" / "&amp;Anmeldung!$G$33&amp;" / "&amp;Anmeldung!$J$33,"")</f>
        <v/>
      </c>
      <c r="AL20" t="str">
        <f>IF(AND(25&lt;&gt;14,Anmeldung!$D$33&lt;&gt;"",Anmeldung!$U$33="Ja",Anmeldung!$G$33=Anmeldung!$G$22,Anmeldung!$J$33=Anmeldung!$J$22),Anmeldung!$B$33&amp;": "&amp;Anmeldung!$D$33&amp;", "&amp;Anmeldung!$E$33&amp;" / "&amp;Anmeldung!$G$33&amp;" / "&amp;Anmeldung!$J$33,"")</f>
        <v/>
      </c>
      <c r="AO20" t="str">
        <f>IF(AND(26&lt;&gt;16,Anmeldung!$D$33&lt;&gt;"",Anmeldung!$G$33=Anmeldung!$G$23,Anmeldung!$J$33=Anmeldung!$J$23),Anmeldung!$B$33&amp;": "&amp;Anmeldung!$D$33&amp;", "&amp;Anmeldung!$E$33&amp;" / "&amp;Anmeldung!$G$33&amp;" / "&amp;Anmeldung!$J$33,"")</f>
        <v/>
      </c>
      <c r="AP20" t="str">
        <f>IF(AND(26&lt;&gt;16,Anmeldung!$D$33&lt;&gt;"",Anmeldung!$G$33=Anmeldung!$G$23,Anmeldung!$J$33=Anmeldung!$J$23,(Anmeldung!$B$33&amp;": "&amp;Anmeldung!$D$33&amp;", "&amp;Anmeldung!$E$33&amp;" / "&amp;Anmeldung!$G$33&amp;" / "&amp;Anmeldung!$J$33)&lt;&gt;Anmeldung!$P$23),Anmeldung!$B$33&amp;": "&amp;Anmeldung!$D$33&amp;", "&amp;Anmeldung!$E$33&amp;" / "&amp;Anmeldung!$G$33&amp;" / "&amp;Anmeldung!$J$33,"")</f>
        <v/>
      </c>
      <c r="AQ20" t="str">
        <f>IF(AND(26&lt;&gt;16,Anmeldung!$D$33&lt;&gt;"",Anmeldung!$G$33=Anmeldung!$G$23,Anmeldung!$J$33=Anmeldung!$J$23,(Anmeldung!$B$33&amp;": "&amp;Anmeldung!$D$33&amp;", "&amp;Anmeldung!$E$33&amp;" / "&amp;Anmeldung!$G$33&amp;" / "&amp;Anmeldung!$J$33)&lt;&gt;Anmeldung!$O$23),Anmeldung!$B$33&amp;": "&amp;Anmeldung!$D$33&amp;", "&amp;Anmeldung!$E$33&amp;" / "&amp;Anmeldung!$G$33&amp;" / "&amp;Anmeldung!$J$33,"")</f>
        <v/>
      </c>
      <c r="AR20" t="str">
        <f>IF(AND(26&lt;&gt;16,Anmeldung!$D$33&lt;&gt;"",Anmeldung!$G$33&lt;&gt;Anmeldung!$G$23,(Anmeldung!$B$33&amp;": "&amp;Anmeldung!$D$33&amp;", "&amp;Anmeldung!$E$33&amp;" / "&amp;Anmeldung!$G$33&amp;" / "&amp;Anmeldung!$J$33)&lt;&gt;Anmeldung!$S$23),Anmeldung!$B$33&amp;": "&amp;Anmeldung!$D$33&amp;", "&amp;Anmeldung!$E$33&amp;" / "&amp;Anmeldung!$G$33&amp;" / "&amp;Anmeldung!$J$33,"")</f>
        <v/>
      </c>
      <c r="AS20" t="str">
        <f>IF(AND(26&lt;&gt;16,Anmeldung!$D$33&lt;&gt;"",(Anmeldung!$B$33&amp;": "&amp;Anmeldung!$D$33&amp;", "&amp;Anmeldung!$E$33&amp;" / "&amp;Anmeldung!$G$33&amp;" / "&amp;Anmeldung!$J$33)&lt;&gt;Anmeldung!$R$23),Anmeldung!$B$33&amp;": "&amp;Anmeldung!$D$33&amp;", "&amp;Anmeldung!$E$33&amp;" / "&amp;Anmeldung!$G$33&amp;" / "&amp;Anmeldung!$J$33,"")</f>
        <v/>
      </c>
      <c r="AT20" t="str">
        <f>IF(AND(25&lt;&gt;15,Anmeldung!$D$33&lt;&gt;"",Anmeldung!$U$33="Ja",Anmeldung!$G$33=Anmeldung!$G$23,Anmeldung!$J$33=Anmeldung!$J$23),Anmeldung!$B$33&amp;": "&amp;Anmeldung!$D$33&amp;", "&amp;Anmeldung!$E$33&amp;" / "&amp;Anmeldung!$G$33&amp;" / "&amp;Anmeldung!$J$33,"")</f>
        <v/>
      </c>
      <c r="AW20" t="str">
        <f>IF(AND(26&lt;&gt;17,Anmeldung!$D$33&lt;&gt;"",Anmeldung!$G$33=Anmeldung!$G$24,Anmeldung!$J$33=Anmeldung!$J$24),Anmeldung!$B$33&amp;": "&amp;Anmeldung!$D$33&amp;", "&amp;Anmeldung!$E$33&amp;" / "&amp;Anmeldung!$G$33&amp;" / "&amp;Anmeldung!$J$33,"")</f>
        <v/>
      </c>
      <c r="AX20" t="str">
        <f>IF(AND(26&lt;&gt;17,Anmeldung!$D$33&lt;&gt;"",Anmeldung!$G$33=Anmeldung!$G$24,Anmeldung!$J$33=Anmeldung!$J$24,(Anmeldung!$B$33&amp;": "&amp;Anmeldung!$D$33&amp;", "&amp;Anmeldung!$E$33&amp;" / "&amp;Anmeldung!$G$33&amp;" / "&amp;Anmeldung!$J$33)&lt;&gt;Anmeldung!$P$24),Anmeldung!$B$33&amp;": "&amp;Anmeldung!$D$33&amp;", "&amp;Anmeldung!$E$33&amp;" / "&amp;Anmeldung!$G$33&amp;" / "&amp;Anmeldung!$J$33,"")</f>
        <v/>
      </c>
      <c r="AY20" t="str">
        <f>IF(AND(26&lt;&gt;17,Anmeldung!$D$33&lt;&gt;"",Anmeldung!$G$33=Anmeldung!$G$24,Anmeldung!$J$33=Anmeldung!$J$24,(Anmeldung!$B$33&amp;": "&amp;Anmeldung!$D$33&amp;", "&amp;Anmeldung!$E$33&amp;" / "&amp;Anmeldung!$G$33&amp;" / "&amp;Anmeldung!$J$33)&lt;&gt;Anmeldung!$O$24),Anmeldung!$B$33&amp;": "&amp;Anmeldung!$D$33&amp;", "&amp;Anmeldung!$E$33&amp;" / "&amp;Anmeldung!$G$33&amp;" / "&amp;Anmeldung!$J$33,"")</f>
        <v/>
      </c>
      <c r="AZ20" t="str">
        <f>IF(AND(26&lt;&gt;17,Anmeldung!$D$33&lt;&gt;"",Anmeldung!$G$33&lt;&gt;Anmeldung!$G$24,(Anmeldung!$B$33&amp;": "&amp;Anmeldung!$D$33&amp;", "&amp;Anmeldung!$E$33&amp;" / "&amp;Anmeldung!$G$33&amp;" / "&amp;Anmeldung!$J$33)&lt;&gt;Anmeldung!$S$24),Anmeldung!$B$33&amp;": "&amp;Anmeldung!$D$33&amp;", "&amp;Anmeldung!$E$33&amp;" / "&amp;Anmeldung!$G$33&amp;" / "&amp;Anmeldung!$J$33,"")</f>
        <v/>
      </c>
      <c r="BA20" t="str">
        <f>IF(AND(26&lt;&gt;17,Anmeldung!$D$33&lt;&gt;"",(Anmeldung!$B$33&amp;": "&amp;Anmeldung!$D$33&amp;", "&amp;Anmeldung!$E$33&amp;" / "&amp;Anmeldung!$G$33&amp;" / "&amp;Anmeldung!$J$33)&lt;&gt;Anmeldung!$R$24),Anmeldung!$B$33&amp;": "&amp;Anmeldung!$D$33&amp;", "&amp;Anmeldung!$E$33&amp;" / "&amp;Anmeldung!$G$33&amp;" / "&amp;Anmeldung!$J$33,"")</f>
        <v/>
      </c>
      <c r="BB20" t="str">
        <f>IF(AND(25&lt;&gt;16,Anmeldung!$D$33&lt;&gt;"",Anmeldung!$U$33="Ja",Anmeldung!$G$33=Anmeldung!$G$24,Anmeldung!$J$33=Anmeldung!$J$24),Anmeldung!$B$33&amp;": "&amp;Anmeldung!$D$33&amp;", "&amp;Anmeldung!$E$33&amp;" / "&amp;Anmeldung!$G$33&amp;" / "&amp;Anmeldung!$J$33,"")</f>
        <v/>
      </c>
      <c r="BE20" t="str">
        <f>IF(AND(26&lt;&gt;18,Anmeldung!$D$33&lt;&gt;"",Anmeldung!$G$33=Anmeldung!$G$25,Anmeldung!$J$33=Anmeldung!$J$25),Anmeldung!$B$33&amp;": "&amp;Anmeldung!$D$33&amp;", "&amp;Anmeldung!$E$33&amp;" / "&amp;Anmeldung!$G$33&amp;" / "&amp;Anmeldung!$J$33,"")</f>
        <v/>
      </c>
      <c r="BF20" t="str">
        <f>IF(AND(26&lt;&gt;18,Anmeldung!$D$33&lt;&gt;"",Anmeldung!$G$33=Anmeldung!$G$25,Anmeldung!$J$33=Anmeldung!$J$25,(Anmeldung!$B$33&amp;": "&amp;Anmeldung!$D$33&amp;", "&amp;Anmeldung!$E$33&amp;" / "&amp;Anmeldung!$G$33&amp;" / "&amp;Anmeldung!$J$33)&lt;&gt;Anmeldung!$P$25),Anmeldung!$B$33&amp;": "&amp;Anmeldung!$D$33&amp;", "&amp;Anmeldung!$E$33&amp;" / "&amp;Anmeldung!$G$33&amp;" / "&amp;Anmeldung!$J$33,"")</f>
        <v/>
      </c>
      <c r="BG20" t="str">
        <f>IF(AND(26&lt;&gt;18,Anmeldung!$D$33&lt;&gt;"",Anmeldung!$G$33=Anmeldung!$G$25,Anmeldung!$J$33=Anmeldung!$J$25,(Anmeldung!$B$33&amp;": "&amp;Anmeldung!$D$33&amp;", "&amp;Anmeldung!$E$33&amp;" / "&amp;Anmeldung!$G$33&amp;" / "&amp;Anmeldung!$J$33)&lt;&gt;Anmeldung!$O$25),Anmeldung!$B$33&amp;": "&amp;Anmeldung!$D$33&amp;", "&amp;Anmeldung!$E$33&amp;" / "&amp;Anmeldung!$G$33&amp;" / "&amp;Anmeldung!$J$33,"")</f>
        <v/>
      </c>
      <c r="BH20" t="str">
        <f>IF(AND(26&lt;&gt;18,Anmeldung!$D$33&lt;&gt;"",Anmeldung!$G$33&lt;&gt;Anmeldung!$G$25,(Anmeldung!$B$33&amp;": "&amp;Anmeldung!$D$33&amp;", "&amp;Anmeldung!$E$33&amp;" / "&amp;Anmeldung!$G$33&amp;" / "&amp;Anmeldung!$J$33)&lt;&gt;Anmeldung!$S$25),Anmeldung!$B$33&amp;": "&amp;Anmeldung!$D$33&amp;", "&amp;Anmeldung!$E$33&amp;" / "&amp;Anmeldung!$G$33&amp;" / "&amp;Anmeldung!$J$33,"")</f>
        <v/>
      </c>
      <c r="BI20" t="str">
        <f>IF(AND(26&lt;&gt;18,Anmeldung!$D$33&lt;&gt;"",(Anmeldung!$B$33&amp;": "&amp;Anmeldung!$D$33&amp;", "&amp;Anmeldung!$E$33&amp;" / "&amp;Anmeldung!$G$33&amp;" / "&amp;Anmeldung!$J$33)&lt;&gt;Anmeldung!$R$25),Anmeldung!$B$33&amp;": "&amp;Anmeldung!$D$33&amp;", "&amp;Anmeldung!$E$33&amp;" / "&amp;Anmeldung!$G$33&amp;" / "&amp;Anmeldung!$J$33,"")</f>
        <v/>
      </c>
      <c r="BJ20" t="str">
        <f>IF(AND(25&lt;&gt;17,Anmeldung!$D$33&lt;&gt;"",Anmeldung!$U$33="Ja",Anmeldung!$G$33=Anmeldung!$G$25,Anmeldung!$J$33=Anmeldung!$J$25),Anmeldung!$B$33&amp;": "&amp;Anmeldung!$D$33&amp;", "&amp;Anmeldung!$E$33&amp;" / "&amp;Anmeldung!$G$33&amp;" / "&amp;Anmeldung!$J$33,"")</f>
        <v/>
      </c>
      <c r="BM20" t="str">
        <f>IF(AND(26&lt;&gt;19,Anmeldung!$D$33&lt;&gt;"",Anmeldung!$G$33=Anmeldung!$G$26,Anmeldung!$J$33=Anmeldung!$J$26),Anmeldung!$B$33&amp;": "&amp;Anmeldung!$D$33&amp;", "&amp;Anmeldung!$E$33&amp;" / "&amp;Anmeldung!$G$33&amp;" / "&amp;Anmeldung!$J$33,"")</f>
        <v/>
      </c>
      <c r="BN20" t="str">
        <f>IF(AND(26&lt;&gt;19,Anmeldung!$D$33&lt;&gt;"",Anmeldung!$G$33=Anmeldung!$G$26,Anmeldung!$J$33=Anmeldung!$J$26,(Anmeldung!$B$33&amp;": "&amp;Anmeldung!$D$33&amp;", "&amp;Anmeldung!$E$33&amp;" / "&amp;Anmeldung!$G$33&amp;" / "&amp;Anmeldung!$J$33)&lt;&gt;Anmeldung!$P$26),Anmeldung!$B$33&amp;": "&amp;Anmeldung!$D$33&amp;", "&amp;Anmeldung!$E$33&amp;" / "&amp;Anmeldung!$G$33&amp;" / "&amp;Anmeldung!$J$33,"")</f>
        <v/>
      </c>
      <c r="BO20" t="str">
        <f>IF(AND(26&lt;&gt;19,Anmeldung!$D$33&lt;&gt;"",Anmeldung!$G$33=Anmeldung!$G$26,Anmeldung!$J$33=Anmeldung!$J$26,(Anmeldung!$B$33&amp;": "&amp;Anmeldung!$D$33&amp;", "&amp;Anmeldung!$E$33&amp;" / "&amp;Anmeldung!$G$33&amp;" / "&amp;Anmeldung!$J$33)&lt;&gt;Anmeldung!$O$26),Anmeldung!$B$33&amp;": "&amp;Anmeldung!$D$33&amp;", "&amp;Anmeldung!$E$33&amp;" / "&amp;Anmeldung!$G$33&amp;" / "&amp;Anmeldung!$J$33,"")</f>
        <v/>
      </c>
      <c r="BP20" t="str">
        <f>IF(AND(26&lt;&gt;19,Anmeldung!$D$33&lt;&gt;"",Anmeldung!$G$33&lt;&gt;Anmeldung!$G$26,(Anmeldung!$B$33&amp;": "&amp;Anmeldung!$D$33&amp;", "&amp;Anmeldung!$E$33&amp;" / "&amp;Anmeldung!$G$33&amp;" / "&amp;Anmeldung!$J$33)&lt;&gt;Anmeldung!$S$26),Anmeldung!$B$33&amp;": "&amp;Anmeldung!$D$33&amp;", "&amp;Anmeldung!$E$33&amp;" / "&amp;Anmeldung!$G$33&amp;" / "&amp;Anmeldung!$J$33,"")</f>
        <v/>
      </c>
      <c r="BQ20" t="str">
        <f>IF(AND(26&lt;&gt;19,Anmeldung!$D$33&lt;&gt;"",(Anmeldung!$B$33&amp;": "&amp;Anmeldung!$D$33&amp;", "&amp;Anmeldung!$E$33&amp;" / "&amp;Anmeldung!$G$33&amp;" / "&amp;Anmeldung!$J$33)&lt;&gt;Anmeldung!$R$26),Anmeldung!$B$33&amp;": "&amp;Anmeldung!$D$33&amp;", "&amp;Anmeldung!$E$33&amp;" / "&amp;Anmeldung!$G$33&amp;" / "&amp;Anmeldung!$J$33,"")</f>
        <v/>
      </c>
      <c r="BR20" t="str">
        <f>IF(AND(25&lt;&gt;18,Anmeldung!$D$33&lt;&gt;"",Anmeldung!$U$33="Ja",Anmeldung!$G$33=Anmeldung!$G$26,Anmeldung!$J$33=Anmeldung!$J$26),Anmeldung!$B$33&amp;": "&amp;Anmeldung!$D$33&amp;", "&amp;Anmeldung!$E$33&amp;" / "&amp;Anmeldung!$G$33&amp;" / "&amp;Anmeldung!$J$33,"")</f>
        <v/>
      </c>
      <c r="BU20" t="str">
        <f>IF(AND(26&lt;&gt;20,Anmeldung!$D$33&lt;&gt;"",Anmeldung!$G$33=Anmeldung!$G$27,Anmeldung!$J$33=Anmeldung!$J$27),Anmeldung!$B$33&amp;": "&amp;Anmeldung!$D$33&amp;", "&amp;Anmeldung!$E$33&amp;" / "&amp;Anmeldung!$G$33&amp;" / "&amp;Anmeldung!$J$33,"")</f>
        <v/>
      </c>
      <c r="BV20" t="str">
        <f>IF(AND(26&lt;&gt;20,Anmeldung!$D$33&lt;&gt;"",Anmeldung!$G$33=Anmeldung!$G$27,Anmeldung!$J$33=Anmeldung!$J$27,(Anmeldung!$B$33&amp;": "&amp;Anmeldung!$D$33&amp;", "&amp;Anmeldung!$E$33&amp;" / "&amp;Anmeldung!$G$33&amp;" / "&amp;Anmeldung!$J$33)&lt;&gt;Anmeldung!$P$27),Anmeldung!$B$33&amp;": "&amp;Anmeldung!$D$33&amp;", "&amp;Anmeldung!$E$33&amp;" / "&amp;Anmeldung!$G$33&amp;" / "&amp;Anmeldung!$J$33,"")</f>
        <v/>
      </c>
      <c r="BW20" t="str">
        <f>IF(AND(26&lt;&gt;20,Anmeldung!$D$33&lt;&gt;"",Anmeldung!$G$33=Anmeldung!$G$27,Anmeldung!$J$33=Anmeldung!$J$27,(Anmeldung!$B$33&amp;": "&amp;Anmeldung!$D$33&amp;", "&amp;Anmeldung!$E$33&amp;" / "&amp;Anmeldung!$G$33&amp;" / "&amp;Anmeldung!$J$33)&lt;&gt;Anmeldung!$O$27),Anmeldung!$B$33&amp;": "&amp;Anmeldung!$D$33&amp;", "&amp;Anmeldung!$E$33&amp;" / "&amp;Anmeldung!$G$33&amp;" / "&amp;Anmeldung!$J$33,"")</f>
        <v/>
      </c>
      <c r="BX20" t="str">
        <f>IF(AND(26&lt;&gt;20,Anmeldung!$D$33&lt;&gt;"",Anmeldung!$G$33&lt;&gt;Anmeldung!$G$27,(Anmeldung!$B$33&amp;": "&amp;Anmeldung!$D$33&amp;", "&amp;Anmeldung!$E$33&amp;" / "&amp;Anmeldung!$G$33&amp;" / "&amp;Anmeldung!$J$33)&lt;&gt;Anmeldung!$S$27),Anmeldung!$B$33&amp;": "&amp;Anmeldung!$D$33&amp;", "&amp;Anmeldung!$E$33&amp;" / "&amp;Anmeldung!$G$33&amp;" / "&amp;Anmeldung!$J$33,"")</f>
        <v/>
      </c>
      <c r="BY20" t="str">
        <f>IF(AND(26&lt;&gt;20,Anmeldung!$D$33&lt;&gt;"",(Anmeldung!$B$33&amp;": "&amp;Anmeldung!$D$33&amp;", "&amp;Anmeldung!$E$33&amp;" / "&amp;Anmeldung!$G$33&amp;" / "&amp;Anmeldung!$J$33)&lt;&gt;Anmeldung!$R$27),Anmeldung!$B$33&amp;": "&amp;Anmeldung!$D$33&amp;", "&amp;Anmeldung!$E$33&amp;" / "&amp;Anmeldung!$G$33&amp;" / "&amp;Anmeldung!$J$33,"")</f>
        <v/>
      </c>
      <c r="BZ20" t="str">
        <f>IF(AND(25&lt;&gt;19,Anmeldung!$D$33&lt;&gt;"",Anmeldung!$U$33="Ja",Anmeldung!$G$33=Anmeldung!$G$27,Anmeldung!$J$33=Anmeldung!$J$27),Anmeldung!$B$33&amp;": "&amp;Anmeldung!$D$33&amp;", "&amp;Anmeldung!$E$33&amp;" / "&amp;Anmeldung!$G$33&amp;" / "&amp;Anmeldung!$J$33,"")</f>
        <v/>
      </c>
      <c r="CC20" t="str">
        <f>IF(AND(26&lt;&gt;21,Anmeldung!$D$33&lt;&gt;"",Anmeldung!$G$33=Anmeldung!$G$28,Anmeldung!$J$33=Anmeldung!$J$28),Anmeldung!$B$33&amp;": "&amp;Anmeldung!$D$33&amp;", "&amp;Anmeldung!$E$33&amp;" / "&amp;Anmeldung!$G$33&amp;" / "&amp;Anmeldung!$J$33,"")</f>
        <v/>
      </c>
      <c r="CD20" t="str">
        <f>IF(AND(26&lt;&gt;21,Anmeldung!$D$33&lt;&gt;"",Anmeldung!$G$33=Anmeldung!$G$28,Anmeldung!$J$33=Anmeldung!$J$28,(Anmeldung!$B$33&amp;": "&amp;Anmeldung!$D$33&amp;", "&amp;Anmeldung!$E$33&amp;" / "&amp;Anmeldung!$G$33&amp;" / "&amp;Anmeldung!$J$33)&lt;&gt;Anmeldung!$P$28),Anmeldung!$B$33&amp;": "&amp;Anmeldung!$D$33&amp;", "&amp;Anmeldung!$E$33&amp;" / "&amp;Anmeldung!$G$33&amp;" / "&amp;Anmeldung!$J$33,"")</f>
        <v/>
      </c>
      <c r="CE20" t="str">
        <f>IF(AND(26&lt;&gt;21,Anmeldung!$D$33&lt;&gt;"",Anmeldung!$G$33=Anmeldung!$G$28,Anmeldung!$J$33=Anmeldung!$J$28,(Anmeldung!$B$33&amp;": "&amp;Anmeldung!$D$33&amp;", "&amp;Anmeldung!$E$33&amp;" / "&amp;Anmeldung!$G$33&amp;" / "&amp;Anmeldung!$J$33)&lt;&gt;Anmeldung!$O$28),Anmeldung!$B$33&amp;": "&amp;Anmeldung!$D$33&amp;", "&amp;Anmeldung!$E$33&amp;" / "&amp;Anmeldung!$G$33&amp;" / "&amp;Anmeldung!$J$33,"")</f>
        <v/>
      </c>
      <c r="CF20" t="str">
        <f>IF(AND(26&lt;&gt;21,Anmeldung!$D$33&lt;&gt;"",Anmeldung!$G$33&lt;&gt;Anmeldung!$G$28,(Anmeldung!$B$33&amp;": "&amp;Anmeldung!$D$33&amp;", "&amp;Anmeldung!$E$33&amp;" / "&amp;Anmeldung!$G$33&amp;" / "&amp;Anmeldung!$J$33)&lt;&gt;Anmeldung!$S$28),Anmeldung!$B$33&amp;": "&amp;Anmeldung!$D$33&amp;", "&amp;Anmeldung!$E$33&amp;" / "&amp;Anmeldung!$G$33&amp;" / "&amp;Anmeldung!$J$33,"")</f>
        <v/>
      </c>
      <c r="CG20" t="str">
        <f>IF(AND(26&lt;&gt;21,Anmeldung!$D$33&lt;&gt;"",(Anmeldung!$B$33&amp;": "&amp;Anmeldung!$D$33&amp;", "&amp;Anmeldung!$E$33&amp;" / "&amp;Anmeldung!$G$33&amp;" / "&amp;Anmeldung!$J$33)&lt;&gt;Anmeldung!$R$28),Anmeldung!$B$33&amp;": "&amp;Anmeldung!$D$33&amp;", "&amp;Anmeldung!$E$33&amp;" / "&amp;Anmeldung!$G$33&amp;" / "&amp;Anmeldung!$J$33,"")</f>
        <v/>
      </c>
      <c r="CH20" t="str">
        <f>IF(AND(25&lt;&gt;20,Anmeldung!$D$33&lt;&gt;"",Anmeldung!$U$33="Ja",Anmeldung!$G$33=Anmeldung!$G$28,Anmeldung!$J$33=Anmeldung!$J$28),Anmeldung!$B$33&amp;": "&amp;Anmeldung!$D$33&amp;", "&amp;Anmeldung!$E$33&amp;" / "&amp;Anmeldung!$G$33&amp;" / "&amp;Anmeldung!$J$33,"")</f>
        <v/>
      </c>
      <c r="CK20" t="str">
        <f>IF(AND(26&lt;&gt;22,Anmeldung!$D$33&lt;&gt;"",Anmeldung!$G$33=Anmeldung!$G$29,Anmeldung!$J$33=Anmeldung!$J$29),Anmeldung!$B$33&amp;": "&amp;Anmeldung!$D$33&amp;", "&amp;Anmeldung!$E$33&amp;" / "&amp;Anmeldung!$G$33&amp;" / "&amp;Anmeldung!$J$33,"")</f>
        <v/>
      </c>
      <c r="CL20" t="str">
        <f>IF(AND(26&lt;&gt;22,Anmeldung!$D$33&lt;&gt;"",Anmeldung!$G$33=Anmeldung!$G$29,Anmeldung!$J$33=Anmeldung!$J$29,(Anmeldung!$B$33&amp;": "&amp;Anmeldung!$D$33&amp;", "&amp;Anmeldung!$E$33&amp;" / "&amp;Anmeldung!$G$33&amp;" / "&amp;Anmeldung!$J$33)&lt;&gt;Anmeldung!$P$29),Anmeldung!$B$33&amp;": "&amp;Anmeldung!$D$33&amp;", "&amp;Anmeldung!$E$33&amp;" / "&amp;Anmeldung!$G$33&amp;" / "&amp;Anmeldung!$J$33,"")</f>
        <v/>
      </c>
      <c r="CM20" t="str">
        <f>IF(AND(26&lt;&gt;22,Anmeldung!$D$33&lt;&gt;"",Anmeldung!$G$33=Anmeldung!$G$29,Anmeldung!$J$33=Anmeldung!$J$29,(Anmeldung!$B$33&amp;": "&amp;Anmeldung!$D$33&amp;", "&amp;Anmeldung!$E$33&amp;" / "&amp;Anmeldung!$G$33&amp;" / "&amp;Anmeldung!$J$33)&lt;&gt;Anmeldung!$O$29),Anmeldung!$B$33&amp;": "&amp;Anmeldung!$D$33&amp;", "&amp;Anmeldung!$E$33&amp;" / "&amp;Anmeldung!$G$33&amp;" / "&amp;Anmeldung!$J$33,"")</f>
        <v/>
      </c>
      <c r="CN20" t="str">
        <f>IF(AND(26&lt;&gt;22,Anmeldung!$D$33&lt;&gt;"",Anmeldung!$G$33&lt;&gt;Anmeldung!$G$29,(Anmeldung!$B$33&amp;": "&amp;Anmeldung!$D$33&amp;", "&amp;Anmeldung!$E$33&amp;" / "&amp;Anmeldung!$G$33&amp;" / "&amp;Anmeldung!$J$33)&lt;&gt;Anmeldung!$S$29),Anmeldung!$B$33&amp;": "&amp;Anmeldung!$D$33&amp;", "&amp;Anmeldung!$E$33&amp;" / "&amp;Anmeldung!$G$33&amp;" / "&amp;Anmeldung!$J$33,"")</f>
        <v/>
      </c>
      <c r="CO20" t="str">
        <f>IF(AND(26&lt;&gt;22,Anmeldung!$D$33&lt;&gt;"",(Anmeldung!$B$33&amp;": "&amp;Anmeldung!$D$33&amp;", "&amp;Anmeldung!$E$33&amp;" / "&amp;Anmeldung!$G$33&amp;" / "&amp;Anmeldung!$J$33)&lt;&gt;Anmeldung!$R$29),Anmeldung!$B$33&amp;": "&amp;Anmeldung!$D$33&amp;", "&amp;Anmeldung!$E$33&amp;" / "&amp;Anmeldung!$G$33&amp;" / "&amp;Anmeldung!$J$33,"")</f>
        <v/>
      </c>
      <c r="CP20" t="str">
        <f>IF(AND(25&lt;&gt;21,Anmeldung!$D$33&lt;&gt;"",Anmeldung!$U$33="Ja",Anmeldung!$G$33=Anmeldung!$G$29,Anmeldung!$J$33=Anmeldung!$J$29),Anmeldung!$B$33&amp;": "&amp;Anmeldung!$D$33&amp;", "&amp;Anmeldung!$E$33&amp;" / "&amp;Anmeldung!$G$33&amp;" / "&amp;Anmeldung!$J$33,"")</f>
        <v/>
      </c>
      <c r="CS20" t="str">
        <f>IF(AND(26&lt;&gt;23,Anmeldung!$D$33&lt;&gt;"",Anmeldung!$G$33=Anmeldung!$G$30,Anmeldung!$J$33=Anmeldung!$J$30),Anmeldung!$B$33&amp;": "&amp;Anmeldung!$D$33&amp;", "&amp;Anmeldung!$E$33&amp;" / "&amp;Anmeldung!$G$33&amp;" / "&amp;Anmeldung!$J$33,"")</f>
        <v/>
      </c>
      <c r="CT20" t="str">
        <f>IF(AND(26&lt;&gt;23,Anmeldung!$D$33&lt;&gt;"",Anmeldung!$G$33=Anmeldung!$G$30,Anmeldung!$J$33=Anmeldung!$J$30,(Anmeldung!$B$33&amp;": "&amp;Anmeldung!$D$33&amp;", "&amp;Anmeldung!$E$33&amp;" / "&amp;Anmeldung!$G$33&amp;" / "&amp;Anmeldung!$J$33)&lt;&gt;Anmeldung!$P$30),Anmeldung!$B$33&amp;": "&amp;Anmeldung!$D$33&amp;", "&amp;Anmeldung!$E$33&amp;" / "&amp;Anmeldung!$G$33&amp;" / "&amp;Anmeldung!$J$33,"")</f>
        <v/>
      </c>
      <c r="CU20" t="str">
        <f>IF(AND(26&lt;&gt;23,Anmeldung!$D$33&lt;&gt;"",Anmeldung!$G$33=Anmeldung!$G$30,Anmeldung!$J$33=Anmeldung!$J$30,(Anmeldung!$B$33&amp;": "&amp;Anmeldung!$D$33&amp;", "&amp;Anmeldung!$E$33&amp;" / "&amp;Anmeldung!$G$33&amp;" / "&amp;Anmeldung!$J$33)&lt;&gt;Anmeldung!$O$30),Anmeldung!$B$33&amp;": "&amp;Anmeldung!$D$33&amp;", "&amp;Anmeldung!$E$33&amp;" / "&amp;Anmeldung!$G$33&amp;" / "&amp;Anmeldung!$J$33,"")</f>
        <v/>
      </c>
      <c r="CV20" t="str">
        <f>IF(AND(26&lt;&gt;23,Anmeldung!$D$33&lt;&gt;"",Anmeldung!$G$33&lt;&gt;Anmeldung!$G$30,(Anmeldung!$B$33&amp;": "&amp;Anmeldung!$D$33&amp;", "&amp;Anmeldung!$E$33&amp;" / "&amp;Anmeldung!$G$33&amp;" / "&amp;Anmeldung!$J$33)&lt;&gt;Anmeldung!$S$30),Anmeldung!$B$33&amp;": "&amp;Anmeldung!$D$33&amp;", "&amp;Anmeldung!$E$33&amp;" / "&amp;Anmeldung!$G$33&amp;" / "&amp;Anmeldung!$J$33,"")</f>
        <v/>
      </c>
      <c r="CW20" t="str">
        <f>IF(AND(26&lt;&gt;23,Anmeldung!$D$33&lt;&gt;"",(Anmeldung!$B$33&amp;": "&amp;Anmeldung!$D$33&amp;", "&amp;Anmeldung!$E$33&amp;" / "&amp;Anmeldung!$G$33&amp;" / "&amp;Anmeldung!$J$33)&lt;&gt;Anmeldung!$R$30),Anmeldung!$B$33&amp;": "&amp;Anmeldung!$D$33&amp;", "&amp;Anmeldung!$E$33&amp;" / "&amp;Anmeldung!$G$33&amp;" / "&amp;Anmeldung!$J$33,"")</f>
        <v/>
      </c>
      <c r="CX20" t="str">
        <f>IF(AND(25&lt;&gt;22,Anmeldung!$D$33&lt;&gt;"",Anmeldung!$U$33="Ja",Anmeldung!$G$33=Anmeldung!$G$30,Anmeldung!$J$33=Anmeldung!$J$30),Anmeldung!$B$33&amp;": "&amp;Anmeldung!$D$33&amp;", "&amp;Anmeldung!$E$33&amp;" / "&amp;Anmeldung!$G$33&amp;" / "&amp;Anmeldung!$J$33,"")</f>
        <v/>
      </c>
      <c r="DA20" t="str">
        <f>IF(AND(26&lt;&gt;24,Anmeldung!$D$33&lt;&gt;"",Anmeldung!$G$33=Anmeldung!$G$31,Anmeldung!$J$33=Anmeldung!$J$31),Anmeldung!$B$33&amp;": "&amp;Anmeldung!$D$33&amp;", "&amp;Anmeldung!$E$33&amp;" / "&amp;Anmeldung!$G$33&amp;" / "&amp;Anmeldung!$J$33,"")</f>
        <v/>
      </c>
      <c r="DB20" t="str">
        <f>IF(AND(26&lt;&gt;24,Anmeldung!$D$33&lt;&gt;"",Anmeldung!$G$33=Anmeldung!$G$31,Anmeldung!$J$33=Anmeldung!$J$31,(Anmeldung!$B$33&amp;": "&amp;Anmeldung!$D$33&amp;", "&amp;Anmeldung!$E$33&amp;" / "&amp;Anmeldung!$G$33&amp;" / "&amp;Anmeldung!$J$33)&lt;&gt;Anmeldung!$P$31),Anmeldung!$B$33&amp;": "&amp;Anmeldung!$D$33&amp;", "&amp;Anmeldung!$E$33&amp;" / "&amp;Anmeldung!$G$33&amp;" / "&amp;Anmeldung!$J$33,"")</f>
        <v/>
      </c>
      <c r="DC20" t="str">
        <f>IF(AND(26&lt;&gt;24,Anmeldung!$D$33&lt;&gt;"",Anmeldung!$G$33=Anmeldung!$G$31,Anmeldung!$J$33=Anmeldung!$J$31,(Anmeldung!$B$33&amp;": "&amp;Anmeldung!$D$33&amp;", "&amp;Anmeldung!$E$33&amp;" / "&amp;Anmeldung!$G$33&amp;" / "&amp;Anmeldung!$J$33)&lt;&gt;Anmeldung!$O$31),Anmeldung!$B$33&amp;": "&amp;Anmeldung!$D$33&amp;", "&amp;Anmeldung!$E$33&amp;" / "&amp;Anmeldung!$G$33&amp;" / "&amp;Anmeldung!$J$33,"")</f>
        <v/>
      </c>
      <c r="DD20" t="str">
        <f>IF(AND(26&lt;&gt;24,Anmeldung!$D$33&lt;&gt;"",Anmeldung!$G$33&lt;&gt;Anmeldung!$G$31,(Anmeldung!$B$33&amp;": "&amp;Anmeldung!$D$33&amp;", "&amp;Anmeldung!$E$33&amp;" / "&amp;Anmeldung!$G$33&amp;" / "&amp;Anmeldung!$J$33)&lt;&gt;Anmeldung!$S$31),Anmeldung!$B$33&amp;": "&amp;Anmeldung!$D$33&amp;", "&amp;Anmeldung!$E$33&amp;" / "&amp;Anmeldung!$G$33&amp;" / "&amp;Anmeldung!$J$33,"")</f>
        <v/>
      </c>
      <c r="DE20" t="str">
        <f>IF(AND(26&lt;&gt;24,Anmeldung!$D$33&lt;&gt;"",(Anmeldung!$B$33&amp;": "&amp;Anmeldung!$D$33&amp;", "&amp;Anmeldung!$E$33&amp;" / "&amp;Anmeldung!$G$33&amp;" / "&amp;Anmeldung!$J$33)&lt;&gt;Anmeldung!$R$31),Anmeldung!$B$33&amp;": "&amp;Anmeldung!$D$33&amp;", "&amp;Anmeldung!$E$33&amp;" / "&amp;Anmeldung!$G$33&amp;" / "&amp;Anmeldung!$J$33,"")</f>
        <v/>
      </c>
      <c r="DF20" t="str">
        <f>IF(AND(25&lt;&gt;23,Anmeldung!$D$33&lt;&gt;"",Anmeldung!$U$33="Ja",Anmeldung!$G$33=Anmeldung!$G$31,Anmeldung!$J$33=Anmeldung!$J$31),Anmeldung!$B$33&amp;": "&amp;Anmeldung!$D$33&amp;", "&amp;Anmeldung!$E$33&amp;" / "&amp;Anmeldung!$G$33&amp;" / "&amp;Anmeldung!$J$33,"")</f>
        <v/>
      </c>
      <c r="DI20" t="str">
        <f>IF(AND(26&lt;&gt;25,Anmeldung!$D$33&lt;&gt;"",Anmeldung!$G$33=Anmeldung!$G$32,Anmeldung!$J$33=Anmeldung!$J$32),Anmeldung!$B$33&amp;": "&amp;Anmeldung!$D$33&amp;", "&amp;Anmeldung!$E$33&amp;" / "&amp;Anmeldung!$G$33&amp;" / "&amp;Anmeldung!$J$33,"")</f>
        <v/>
      </c>
      <c r="DJ20" t="str">
        <f>IF(AND(26&lt;&gt;25,Anmeldung!$D$33&lt;&gt;"",Anmeldung!$G$33=Anmeldung!$G$32,Anmeldung!$J$33=Anmeldung!$J$32,(Anmeldung!$B$33&amp;": "&amp;Anmeldung!$D$33&amp;", "&amp;Anmeldung!$E$33&amp;" / "&amp;Anmeldung!$G$33&amp;" / "&amp;Anmeldung!$J$33)&lt;&gt;Anmeldung!$P$32),Anmeldung!$B$33&amp;": "&amp;Anmeldung!$D$33&amp;", "&amp;Anmeldung!$E$33&amp;" / "&amp;Anmeldung!$G$33&amp;" / "&amp;Anmeldung!$J$33,"")</f>
        <v/>
      </c>
      <c r="DK20" t="str">
        <f>IF(AND(26&lt;&gt;25,Anmeldung!$D$33&lt;&gt;"",Anmeldung!$G$33=Anmeldung!$G$32,Anmeldung!$J$33=Anmeldung!$J$32,(Anmeldung!$B$33&amp;": "&amp;Anmeldung!$D$33&amp;", "&amp;Anmeldung!$E$33&amp;" / "&amp;Anmeldung!$G$33&amp;" / "&amp;Anmeldung!$J$33)&lt;&gt;Anmeldung!$O$32),Anmeldung!$B$33&amp;": "&amp;Anmeldung!$D$33&amp;", "&amp;Anmeldung!$E$33&amp;" / "&amp;Anmeldung!$G$33&amp;" / "&amp;Anmeldung!$J$33,"")</f>
        <v/>
      </c>
      <c r="DL20" t="str">
        <f>IF(AND(26&lt;&gt;25,Anmeldung!$D$33&lt;&gt;"",Anmeldung!$G$33&lt;&gt;Anmeldung!$G$32,(Anmeldung!$B$33&amp;": "&amp;Anmeldung!$D$33&amp;", "&amp;Anmeldung!$E$33&amp;" / "&amp;Anmeldung!$G$33&amp;" / "&amp;Anmeldung!$J$33)&lt;&gt;Anmeldung!$S$32),Anmeldung!$B$33&amp;": "&amp;Anmeldung!$D$33&amp;", "&amp;Anmeldung!$E$33&amp;" / "&amp;Anmeldung!$G$33&amp;" / "&amp;Anmeldung!$J$33,"")</f>
        <v/>
      </c>
      <c r="DM20" t="str">
        <f>IF(AND(26&lt;&gt;25,Anmeldung!$D$33&lt;&gt;"",(Anmeldung!$B$33&amp;": "&amp;Anmeldung!$D$33&amp;", "&amp;Anmeldung!$E$33&amp;" / "&amp;Anmeldung!$G$33&amp;" / "&amp;Anmeldung!$J$33)&lt;&gt;Anmeldung!$R$32),Anmeldung!$B$33&amp;": "&amp;Anmeldung!$D$33&amp;", "&amp;Anmeldung!$E$33&amp;" / "&amp;Anmeldung!$G$33&amp;" / "&amp;Anmeldung!$J$33,"")</f>
        <v/>
      </c>
      <c r="DN20" t="str">
        <f>IF(AND(25&lt;&gt;24,Anmeldung!$D$33&lt;&gt;"",Anmeldung!$U$33="Ja",Anmeldung!$G$33=Anmeldung!$G$32,Anmeldung!$J$33=Anmeldung!$J$32),Anmeldung!$B$33&amp;": "&amp;Anmeldung!$D$33&amp;", "&amp;Anmeldung!$E$33&amp;" / "&amp;Anmeldung!$G$33&amp;" / "&amp;Anmeldung!$J$33,"")</f>
        <v/>
      </c>
      <c r="DQ20" t="str">
        <f>IF(AND(26&lt;&gt;26,Anmeldung!$D$33&lt;&gt;"",Anmeldung!$G$33=Anmeldung!$G$33,Anmeldung!$J$33=Anmeldung!$J$33),Anmeldung!$B$33&amp;": "&amp;Anmeldung!$D$33&amp;", "&amp;Anmeldung!$E$33&amp;" / "&amp;Anmeldung!$G$33&amp;" / "&amp;Anmeldung!$J$33,"")</f>
        <v/>
      </c>
      <c r="DR20" t="str">
        <f>IF(AND(26&lt;&gt;26,Anmeldung!$D$33&lt;&gt;"",Anmeldung!$G$33=Anmeldung!$G$33,Anmeldung!$J$33=Anmeldung!$J$33,(Anmeldung!$B$33&amp;": "&amp;Anmeldung!$D$33&amp;", "&amp;Anmeldung!$E$33&amp;" / "&amp;Anmeldung!$G$33&amp;" / "&amp;Anmeldung!$J$33)&lt;&gt;Anmeldung!$P$33),Anmeldung!$B$33&amp;": "&amp;Anmeldung!$D$33&amp;", "&amp;Anmeldung!$E$33&amp;" / "&amp;Anmeldung!$G$33&amp;" / "&amp;Anmeldung!$J$33,"")</f>
        <v/>
      </c>
      <c r="DS20" t="str">
        <f>IF(AND(26&lt;&gt;26,Anmeldung!$D$33&lt;&gt;"",Anmeldung!$G$33=Anmeldung!$G$33,Anmeldung!$J$33=Anmeldung!$J$33,(Anmeldung!$B$33&amp;": "&amp;Anmeldung!$D$33&amp;", "&amp;Anmeldung!$E$33&amp;" / "&amp;Anmeldung!$G$33&amp;" / "&amp;Anmeldung!$J$33)&lt;&gt;Anmeldung!$O$33),Anmeldung!$B$33&amp;": "&amp;Anmeldung!$D$33&amp;", "&amp;Anmeldung!$E$33&amp;" / "&amp;Anmeldung!$G$33&amp;" / "&amp;Anmeldung!$J$33,"")</f>
        <v/>
      </c>
      <c r="DT20" t="str">
        <f>IF(AND(26&lt;&gt;26,Anmeldung!$D$33&lt;&gt;"",Anmeldung!$G$33&lt;&gt;Anmeldung!$G$33,(Anmeldung!$B$33&amp;": "&amp;Anmeldung!$D$33&amp;", "&amp;Anmeldung!$E$33&amp;" / "&amp;Anmeldung!$G$33&amp;" / "&amp;Anmeldung!$J$33)&lt;&gt;Anmeldung!$S$33),Anmeldung!$B$33&amp;": "&amp;Anmeldung!$D$33&amp;", "&amp;Anmeldung!$E$33&amp;" / "&amp;Anmeldung!$G$33&amp;" / "&amp;Anmeldung!$J$33,"")</f>
        <v/>
      </c>
      <c r="DU20" t="str">
        <f>IF(AND(26&lt;&gt;26,Anmeldung!$D$33&lt;&gt;"",(Anmeldung!$B$33&amp;": "&amp;Anmeldung!$D$33&amp;", "&amp;Anmeldung!$E$33&amp;" / "&amp;Anmeldung!$G$33&amp;" / "&amp;Anmeldung!$J$33)&lt;&gt;Anmeldung!$R$33),Anmeldung!$B$33&amp;": "&amp;Anmeldung!$D$33&amp;", "&amp;Anmeldung!$E$33&amp;" / "&amp;Anmeldung!$G$33&amp;" / "&amp;Anmeldung!$J$33,"")</f>
        <v/>
      </c>
      <c r="DV20" t="str">
        <f>IF(AND(25&lt;&gt;25,Anmeldung!$D$33&lt;&gt;"",Anmeldung!$U$33="Ja",Anmeldung!$G$33=Anmeldung!$G$33,Anmeldung!$J$33=Anmeldung!$J$33),Anmeldung!$B$33&amp;": "&amp;Anmeldung!$D$33&amp;", "&amp;Anmeldung!$E$33&amp;" / "&amp;Anmeldung!$G$33&amp;" / "&amp;Anmeldung!$J$33,"")</f>
        <v/>
      </c>
      <c r="DY20" t="str">
        <f>IF(AND(26&lt;&gt;27,Anmeldung!$D$33&lt;&gt;"",Anmeldung!$G$33=Anmeldung!$G$34,Anmeldung!$J$33=Anmeldung!$J$34),Anmeldung!$B$33&amp;": "&amp;Anmeldung!$D$33&amp;", "&amp;Anmeldung!$E$33&amp;" / "&amp;Anmeldung!$G$33&amp;" / "&amp;Anmeldung!$J$33,"")</f>
        <v/>
      </c>
      <c r="DZ20" t="str">
        <f>IF(AND(26&lt;&gt;27,Anmeldung!$D$33&lt;&gt;"",Anmeldung!$G$33=Anmeldung!$G$34,Anmeldung!$J$33=Anmeldung!$J$34,(Anmeldung!$B$33&amp;": "&amp;Anmeldung!$D$33&amp;", "&amp;Anmeldung!$E$33&amp;" / "&amp;Anmeldung!$G$33&amp;" / "&amp;Anmeldung!$J$33)&lt;&gt;Anmeldung!$P$34),Anmeldung!$B$33&amp;": "&amp;Anmeldung!$D$33&amp;", "&amp;Anmeldung!$E$33&amp;" / "&amp;Anmeldung!$G$33&amp;" / "&amp;Anmeldung!$J$33,"")</f>
        <v/>
      </c>
      <c r="EA20" t="str">
        <f>IF(AND(26&lt;&gt;27,Anmeldung!$D$33&lt;&gt;"",Anmeldung!$G$33=Anmeldung!$G$34,Anmeldung!$J$33=Anmeldung!$J$34,(Anmeldung!$B$33&amp;": "&amp;Anmeldung!$D$33&amp;", "&amp;Anmeldung!$E$33&amp;" / "&amp;Anmeldung!$G$33&amp;" / "&amp;Anmeldung!$J$33)&lt;&gt;Anmeldung!$O$34),Anmeldung!$B$33&amp;": "&amp;Anmeldung!$D$33&amp;", "&amp;Anmeldung!$E$33&amp;" / "&amp;Anmeldung!$G$33&amp;" / "&amp;Anmeldung!$J$33,"")</f>
        <v/>
      </c>
      <c r="EB20" t="str">
        <f>IF(AND(26&lt;&gt;27,Anmeldung!$D$33&lt;&gt;"",Anmeldung!$G$33&lt;&gt;Anmeldung!$G$34,(Anmeldung!$B$33&amp;": "&amp;Anmeldung!$D$33&amp;", "&amp;Anmeldung!$E$33&amp;" / "&amp;Anmeldung!$G$33&amp;" / "&amp;Anmeldung!$J$33)&lt;&gt;Anmeldung!$S$34),Anmeldung!$B$33&amp;": "&amp;Anmeldung!$D$33&amp;", "&amp;Anmeldung!$E$33&amp;" / "&amp;Anmeldung!$G$33&amp;" / "&amp;Anmeldung!$J$33,"")</f>
        <v/>
      </c>
      <c r="EC20" t="str">
        <f>IF(AND(26&lt;&gt;27,Anmeldung!$D$33&lt;&gt;"",(Anmeldung!$B$33&amp;": "&amp;Anmeldung!$D$33&amp;", "&amp;Anmeldung!$E$33&amp;" / "&amp;Anmeldung!$G$33&amp;" / "&amp;Anmeldung!$J$33)&lt;&gt;Anmeldung!$R$34),Anmeldung!$B$33&amp;": "&amp;Anmeldung!$D$33&amp;", "&amp;Anmeldung!$E$33&amp;" / "&amp;Anmeldung!$G$33&amp;" / "&amp;Anmeldung!$J$33,"")</f>
        <v/>
      </c>
      <c r="ED20" t="str">
        <f>IF(AND(25&lt;&gt;26,Anmeldung!$D$33&lt;&gt;"",Anmeldung!$U$33="Ja",Anmeldung!$G$33=Anmeldung!$G$34,Anmeldung!$J$33=Anmeldung!$J$34),Anmeldung!$B$33&amp;": "&amp;Anmeldung!$D$33&amp;", "&amp;Anmeldung!$E$33&amp;" / "&amp;Anmeldung!$G$33&amp;" / "&amp;Anmeldung!$J$33,"")</f>
        <v/>
      </c>
      <c r="EG20" t="str">
        <f>IF(AND(26&lt;&gt;28,Anmeldung!$D$33&lt;&gt;"",Anmeldung!$G$33=Anmeldung!$G$35,Anmeldung!$J$33=Anmeldung!$J$35),Anmeldung!$B$33&amp;": "&amp;Anmeldung!$D$33&amp;", "&amp;Anmeldung!$E$33&amp;" / "&amp;Anmeldung!$G$33&amp;" / "&amp;Anmeldung!$J$33,"")</f>
        <v/>
      </c>
      <c r="EH20" t="str">
        <f>IF(AND(26&lt;&gt;28,Anmeldung!$D$33&lt;&gt;"",Anmeldung!$G$33=Anmeldung!$G$35,Anmeldung!$J$33=Anmeldung!$J$35,(Anmeldung!$B$33&amp;": "&amp;Anmeldung!$D$33&amp;", "&amp;Anmeldung!$E$33&amp;" / "&amp;Anmeldung!$G$33&amp;" / "&amp;Anmeldung!$J$33)&lt;&gt;Anmeldung!$P$35),Anmeldung!$B$33&amp;": "&amp;Anmeldung!$D$33&amp;", "&amp;Anmeldung!$E$33&amp;" / "&amp;Anmeldung!$G$33&amp;" / "&amp;Anmeldung!$J$33,"")</f>
        <v/>
      </c>
      <c r="EI20" t="str">
        <f>IF(AND(26&lt;&gt;28,Anmeldung!$D$33&lt;&gt;"",Anmeldung!$G$33=Anmeldung!$G$35,Anmeldung!$J$33=Anmeldung!$J$35,(Anmeldung!$B$33&amp;": "&amp;Anmeldung!$D$33&amp;", "&amp;Anmeldung!$E$33&amp;" / "&amp;Anmeldung!$G$33&amp;" / "&amp;Anmeldung!$J$33)&lt;&gt;Anmeldung!$O$35),Anmeldung!$B$33&amp;": "&amp;Anmeldung!$D$33&amp;", "&amp;Anmeldung!$E$33&amp;" / "&amp;Anmeldung!$G$33&amp;" / "&amp;Anmeldung!$J$33,"")</f>
        <v/>
      </c>
      <c r="EJ20" t="str">
        <f>IF(AND(26&lt;&gt;28,Anmeldung!$D$33&lt;&gt;"",Anmeldung!$G$33&lt;&gt;Anmeldung!$G$35,(Anmeldung!$B$33&amp;": "&amp;Anmeldung!$D$33&amp;", "&amp;Anmeldung!$E$33&amp;" / "&amp;Anmeldung!$G$33&amp;" / "&amp;Anmeldung!$J$33)&lt;&gt;Anmeldung!$S$35),Anmeldung!$B$33&amp;": "&amp;Anmeldung!$D$33&amp;", "&amp;Anmeldung!$E$33&amp;" / "&amp;Anmeldung!$G$33&amp;" / "&amp;Anmeldung!$J$33,"")</f>
        <v/>
      </c>
      <c r="EK20" t="str">
        <f>IF(AND(26&lt;&gt;28,Anmeldung!$D$33&lt;&gt;"",(Anmeldung!$B$33&amp;": "&amp;Anmeldung!$D$33&amp;", "&amp;Anmeldung!$E$33&amp;" / "&amp;Anmeldung!$G$33&amp;" / "&amp;Anmeldung!$J$33)&lt;&gt;Anmeldung!$R$35),Anmeldung!$B$33&amp;": "&amp;Anmeldung!$D$33&amp;", "&amp;Anmeldung!$E$33&amp;" / "&amp;Anmeldung!$G$33&amp;" / "&amp;Anmeldung!$J$33,"")</f>
        <v/>
      </c>
      <c r="EL20" t="str">
        <f>IF(AND(25&lt;&gt;27,Anmeldung!$D$33&lt;&gt;"",Anmeldung!$U$33="Ja",Anmeldung!$G$33=Anmeldung!$G$35,Anmeldung!$J$33=Anmeldung!$J$35),Anmeldung!$B$33&amp;": "&amp;Anmeldung!$D$33&amp;", "&amp;Anmeldung!$E$33&amp;" / "&amp;Anmeldung!$G$33&amp;" / "&amp;Anmeldung!$J$33,"")</f>
        <v/>
      </c>
      <c r="EO20" t="str">
        <f>IF(AND(26&lt;&gt;29,Anmeldung!$D$33&lt;&gt;"",Anmeldung!$G$33=Anmeldung!$G$36,Anmeldung!$J$33=Anmeldung!$J$36),Anmeldung!$B$33&amp;": "&amp;Anmeldung!$D$33&amp;", "&amp;Anmeldung!$E$33&amp;" / "&amp;Anmeldung!$G$33&amp;" / "&amp;Anmeldung!$J$33,"")</f>
        <v/>
      </c>
      <c r="EP20" t="str">
        <f>IF(AND(26&lt;&gt;29,Anmeldung!$D$33&lt;&gt;"",Anmeldung!$G$33=Anmeldung!$G$36,Anmeldung!$J$33=Anmeldung!$J$36,(Anmeldung!$B$33&amp;": "&amp;Anmeldung!$D$33&amp;", "&amp;Anmeldung!$E$33&amp;" / "&amp;Anmeldung!$G$33&amp;" / "&amp;Anmeldung!$J$33)&lt;&gt;Anmeldung!$P$36),Anmeldung!$B$33&amp;": "&amp;Anmeldung!$D$33&amp;", "&amp;Anmeldung!$E$33&amp;" / "&amp;Anmeldung!$G$33&amp;" / "&amp;Anmeldung!$J$33,"")</f>
        <v/>
      </c>
      <c r="EQ20" t="str">
        <f>IF(AND(26&lt;&gt;29,Anmeldung!$D$33&lt;&gt;"",Anmeldung!$G$33=Anmeldung!$G$36,Anmeldung!$J$33=Anmeldung!$J$36,(Anmeldung!$B$33&amp;": "&amp;Anmeldung!$D$33&amp;", "&amp;Anmeldung!$E$33&amp;" / "&amp;Anmeldung!$G$33&amp;" / "&amp;Anmeldung!$J$33)&lt;&gt;Anmeldung!$O$36),Anmeldung!$B$33&amp;": "&amp;Anmeldung!$D$33&amp;", "&amp;Anmeldung!$E$33&amp;" / "&amp;Anmeldung!$G$33&amp;" / "&amp;Anmeldung!$J$33,"")</f>
        <v/>
      </c>
      <c r="ER20" t="str">
        <f>IF(AND(26&lt;&gt;29,Anmeldung!$D$33&lt;&gt;"",Anmeldung!$G$33&lt;&gt;Anmeldung!$G$36,(Anmeldung!$B$33&amp;": "&amp;Anmeldung!$D$33&amp;", "&amp;Anmeldung!$E$33&amp;" / "&amp;Anmeldung!$G$33&amp;" / "&amp;Anmeldung!$J$33)&lt;&gt;Anmeldung!$S$36),Anmeldung!$B$33&amp;": "&amp;Anmeldung!$D$33&amp;", "&amp;Anmeldung!$E$33&amp;" / "&amp;Anmeldung!$G$33&amp;" / "&amp;Anmeldung!$J$33,"")</f>
        <v/>
      </c>
      <c r="ES20" t="str">
        <f>IF(AND(26&lt;&gt;29,Anmeldung!$D$33&lt;&gt;"",(Anmeldung!$B$33&amp;": "&amp;Anmeldung!$D$33&amp;", "&amp;Anmeldung!$E$33&amp;" / "&amp;Anmeldung!$G$33&amp;" / "&amp;Anmeldung!$J$33)&lt;&gt;Anmeldung!$R$36),Anmeldung!$B$33&amp;": "&amp;Anmeldung!$D$33&amp;", "&amp;Anmeldung!$E$33&amp;" / "&amp;Anmeldung!$G$33&amp;" / "&amp;Anmeldung!$J$33,"")</f>
        <v/>
      </c>
      <c r="ET20" t="str">
        <f>IF(AND(25&lt;&gt;28,Anmeldung!$D$33&lt;&gt;"",Anmeldung!$U$33="Ja",Anmeldung!$G$33=Anmeldung!$G$36,Anmeldung!$J$33=Anmeldung!$J$36),Anmeldung!$B$33&amp;": "&amp;Anmeldung!$D$33&amp;", "&amp;Anmeldung!$E$33&amp;" / "&amp;Anmeldung!$G$33&amp;" / "&amp;Anmeldung!$J$33,"")</f>
        <v/>
      </c>
      <c r="EW20" t="str">
        <f>IF(AND(26&lt;&gt;30,Anmeldung!$D$33&lt;&gt;"",Anmeldung!$G$33=Anmeldung!$G$37,Anmeldung!$J$33=Anmeldung!$J$37),Anmeldung!$B$33&amp;": "&amp;Anmeldung!$D$33&amp;", "&amp;Anmeldung!$E$33&amp;" / "&amp;Anmeldung!$G$33&amp;" / "&amp;Anmeldung!$J$33,"")</f>
        <v/>
      </c>
      <c r="EX20" t="str">
        <f>IF(AND(26&lt;&gt;30,Anmeldung!$D$33&lt;&gt;"",Anmeldung!$G$33=Anmeldung!$G$37,Anmeldung!$J$33=Anmeldung!$J$37,(Anmeldung!$B$33&amp;": "&amp;Anmeldung!$D$33&amp;", "&amp;Anmeldung!$E$33&amp;" / "&amp;Anmeldung!$G$33&amp;" / "&amp;Anmeldung!$J$33)&lt;&gt;Anmeldung!$P$37),Anmeldung!$B$33&amp;": "&amp;Anmeldung!$D$33&amp;", "&amp;Anmeldung!$E$33&amp;" / "&amp;Anmeldung!$G$33&amp;" / "&amp;Anmeldung!$J$33,"")</f>
        <v/>
      </c>
      <c r="EY20" t="str">
        <f>IF(AND(26&lt;&gt;30,Anmeldung!$D$33&lt;&gt;"",Anmeldung!$G$33=Anmeldung!$G$37,Anmeldung!$J$33=Anmeldung!$J$37,(Anmeldung!$B$33&amp;": "&amp;Anmeldung!$D$33&amp;", "&amp;Anmeldung!$E$33&amp;" / "&amp;Anmeldung!$G$33&amp;" / "&amp;Anmeldung!$J$33)&lt;&gt;Anmeldung!$O$37),Anmeldung!$B$33&amp;": "&amp;Anmeldung!$D$33&amp;", "&amp;Anmeldung!$E$33&amp;" / "&amp;Anmeldung!$G$33&amp;" / "&amp;Anmeldung!$J$33,"")</f>
        <v/>
      </c>
      <c r="EZ20" t="str">
        <f>IF(AND(26&lt;&gt;30,Anmeldung!$D$33&lt;&gt;"",Anmeldung!$G$33&lt;&gt;Anmeldung!$G$37,(Anmeldung!$B$33&amp;": "&amp;Anmeldung!$D$33&amp;", "&amp;Anmeldung!$E$33&amp;" / "&amp;Anmeldung!$G$33&amp;" / "&amp;Anmeldung!$J$33)&lt;&gt;Anmeldung!$S$37),Anmeldung!$B$33&amp;": "&amp;Anmeldung!$D$33&amp;", "&amp;Anmeldung!$E$33&amp;" / "&amp;Anmeldung!$G$33&amp;" / "&amp;Anmeldung!$J$33,"")</f>
        <v/>
      </c>
      <c r="FA20" t="str">
        <f>IF(AND(26&lt;&gt;30,Anmeldung!$D$33&lt;&gt;"",(Anmeldung!$B$33&amp;": "&amp;Anmeldung!$D$33&amp;", "&amp;Anmeldung!$E$33&amp;" / "&amp;Anmeldung!$G$33&amp;" / "&amp;Anmeldung!$J$33)&lt;&gt;Anmeldung!$R$37),Anmeldung!$B$33&amp;": "&amp;Anmeldung!$D$33&amp;", "&amp;Anmeldung!$E$33&amp;" / "&amp;Anmeldung!$G$33&amp;" / "&amp;Anmeldung!$J$33,"")</f>
        <v/>
      </c>
      <c r="FB20" t="str">
        <f>IF(AND(25&lt;&gt;29,Anmeldung!$D$33&lt;&gt;"",Anmeldung!$U$33="Ja",Anmeldung!$G$33=Anmeldung!$G$37,Anmeldung!$J$33=Anmeldung!$J$37),Anmeldung!$B$33&amp;": "&amp;Anmeldung!$D$33&amp;", "&amp;Anmeldung!$E$33&amp;" / "&amp;Anmeldung!$G$33&amp;" / "&amp;Anmeldung!$J$33,"")</f>
        <v/>
      </c>
      <c r="FE20" t="str">
        <f>IF(AND(26&lt;&gt;31,Anmeldung!$D$33&lt;&gt;"",Anmeldung!$G$33=Anmeldung!$G$38,Anmeldung!$J$33=Anmeldung!$J$38),Anmeldung!$B$33&amp;": "&amp;Anmeldung!$D$33&amp;", "&amp;Anmeldung!$E$33&amp;" / "&amp;Anmeldung!$G$33&amp;" / "&amp;Anmeldung!$J$33,"")</f>
        <v/>
      </c>
      <c r="FF20" t="str">
        <f>IF(AND(26&lt;&gt;31,Anmeldung!$D$33&lt;&gt;"",Anmeldung!$G$33=Anmeldung!$G$38,Anmeldung!$J$33=Anmeldung!$J$38,(Anmeldung!$B$33&amp;": "&amp;Anmeldung!$D$33&amp;", "&amp;Anmeldung!$E$33&amp;" / "&amp;Anmeldung!$G$33&amp;" / "&amp;Anmeldung!$J$33)&lt;&gt;Anmeldung!$P$38),Anmeldung!$B$33&amp;": "&amp;Anmeldung!$D$33&amp;", "&amp;Anmeldung!$E$33&amp;" / "&amp;Anmeldung!$G$33&amp;" / "&amp;Anmeldung!$J$33,"")</f>
        <v/>
      </c>
      <c r="FG20" t="str">
        <f>IF(AND(26&lt;&gt;31,Anmeldung!$D$33&lt;&gt;"",Anmeldung!$G$33=Anmeldung!$G$38,Anmeldung!$J$33=Anmeldung!$J$38,(Anmeldung!$B$33&amp;": "&amp;Anmeldung!$D$33&amp;", "&amp;Anmeldung!$E$33&amp;" / "&amp;Anmeldung!$G$33&amp;" / "&amp;Anmeldung!$J$33)&lt;&gt;Anmeldung!$O$38),Anmeldung!$B$33&amp;": "&amp;Anmeldung!$D$33&amp;", "&amp;Anmeldung!$E$33&amp;" / "&amp;Anmeldung!$G$33&amp;" / "&amp;Anmeldung!$J$33,"")</f>
        <v/>
      </c>
      <c r="FH20" t="str">
        <f>IF(AND(26&lt;&gt;31,Anmeldung!$D$33&lt;&gt;"",Anmeldung!$G$33&lt;&gt;Anmeldung!$G$38,(Anmeldung!$B$33&amp;": "&amp;Anmeldung!$D$33&amp;", "&amp;Anmeldung!$E$33&amp;" / "&amp;Anmeldung!$G$33&amp;" / "&amp;Anmeldung!$J$33)&lt;&gt;Anmeldung!$S$38),Anmeldung!$B$33&amp;": "&amp;Anmeldung!$D$33&amp;", "&amp;Anmeldung!$E$33&amp;" / "&amp;Anmeldung!$G$33&amp;" / "&amp;Anmeldung!$J$33,"")</f>
        <v/>
      </c>
      <c r="FI20" t="str">
        <f>IF(AND(26&lt;&gt;31,Anmeldung!$D$33&lt;&gt;"",(Anmeldung!$B$33&amp;": "&amp;Anmeldung!$D$33&amp;", "&amp;Anmeldung!$E$33&amp;" / "&amp;Anmeldung!$G$33&amp;" / "&amp;Anmeldung!$J$33)&lt;&gt;Anmeldung!$R$38),Anmeldung!$B$33&amp;": "&amp;Anmeldung!$D$33&amp;", "&amp;Anmeldung!$E$33&amp;" / "&amp;Anmeldung!$G$33&amp;" / "&amp;Anmeldung!$J$33,"")</f>
        <v/>
      </c>
      <c r="FJ20" t="str">
        <f>IF(AND(25&lt;&gt;30,Anmeldung!$D$33&lt;&gt;"",Anmeldung!$U$33="Ja",Anmeldung!$G$33=Anmeldung!$G$38,Anmeldung!$J$33=Anmeldung!$J$38),Anmeldung!$B$33&amp;": "&amp;Anmeldung!$D$33&amp;", "&amp;Anmeldung!$E$33&amp;" / "&amp;Anmeldung!$G$33&amp;" / "&amp;Anmeldung!$J$33,"")</f>
        <v/>
      </c>
      <c r="FM20" t="str">
        <f>IF(AND(26&lt;&gt;32,Anmeldung!$D$33&lt;&gt;"",Anmeldung!$G$33=Anmeldung!$G$39,Anmeldung!$J$33=Anmeldung!$J$39),Anmeldung!$B$33&amp;": "&amp;Anmeldung!$D$33&amp;", "&amp;Anmeldung!$E$33&amp;" / "&amp;Anmeldung!$G$33&amp;" / "&amp;Anmeldung!$J$33,"")</f>
        <v/>
      </c>
      <c r="FN20" t="str">
        <f>IF(AND(26&lt;&gt;32,Anmeldung!$D$33&lt;&gt;"",Anmeldung!$G$33=Anmeldung!$G$39,Anmeldung!$J$33=Anmeldung!$J$39,(Anmeldung!$B$33&amp;": "&amp;Anmeldung!$D$33&amp;", "&amp;Anmeldung!$E$33&amp;" / "&amp;Anmeldung!$G$33&amp;" / "&amp;Anmeldung!$J$33)&lt;&gt;Anmeldung!$P$39),Anmeldung!$B$33&amp;": "&amp;Anmeldung!$D$33&amp;", "&amp;Anmeldung!$E$33&amp;" / "&amp;Anmeldung!$G$33&amp;" / "&amp;Anmeldung!$J$33,"")</f>
        <v/>
      </c>
      <c r="FO20" t="str">
        <f>IF(AND(26&lt;&gt;32,Anmeldung!$D$33&lt;&gt;"",Anmeldung!$G$33=Anmeldung!$G$39,Anmeldung!$J$33=Anmeldung!$J$39,(Anmeldung!$B$33&amp;": "&amp;Anmeldung!$D$33&amp;", "&amp;Anmeldung!$E$33&amp;" / "&amp;Anmeldung!$G$33&amp;" / "&amp;Anmeldung!$J$33)&lt;&gt;Anmeldung!$O$39),Anmeldung!$B$33&amp;": "&amp;Anmeldung!$D$33&amp;", "&amp;Anmeldung!$E$33&amp;" / "&amp;Anmeldung!$G$33&amp;" / "&amp;Anmeldung!$J$33,"")</f>
        <v/>
      </c>
      <c r="FP20" t="str">
        <f>IF(AND(26&lt;&gt;32,Anmeldung!$D$33&lt;&gt;"",Anmeldung!$G$33&lt;&gt;Anmeldung!$G$39,(Anmeldung!$B$33&amp;": "&amp;Anmeldung!$D$33&amp;", "&amp;Anmeldung!$E$33&amp;" / "&amp;Anmeldung!$G$33&amp;" / "&amp;Anmeldung!$J$33)&lt;&gt;Anmeldung!$S$39),Anmeldung!$B$33&amp;": "&amp;Anmeldung!$D$33&amp;", "&amp;Anmeldung!$E$33&amp;" / "&amp;Anmeldung!$G$33&amp;" / "&amp;Anmeldung!$J$33,"")</f>
        <v/>
      </c>
      <c r="FQ20" t="str">
        <f>IF(AND(26&lt;&gt;32,Anmeldung!$D$33&lt;&gt;"",(Anmeldung!$B$33&amp;": "&amp;Anmeldung!$D$33&amp;", "&amp;Anmeldung!$E$33&amp;" / "&amp;Anmeldung!$G$33&amp;" / "&amp;Anmeldung!$J$33)&lt;&gt;Anmeldung!$R$39),Anmeldung!$B$33&amp;": "&amp;Anmeldung!$D$33&amp;", "&amp;Anmeldung!$E$33&amp;" / "&amp;Anmeldung!$G$33&amp;" / "&amp;Anmeldung!$J$33,"")</f>
        <v/>
      </c>
      <c r="FR20" t="str">
        <f>IF(AND(25&lt;&gt;31,Anmeldung!$D$33&lt;&gt;"",Anmeldung!$U$33="Ja",Anmeldung!$G$33=Anmeldung!$G$39,Anmeldung!$J$33=Anmeldung!$J$39),Anmeldung!$B$33&amp;": "&amp;Anmeldung!$D$33&amp;", "&amp;Anmeldung!$E$33&amp;" / "&amp;Anmeldung!$G$33&amp;" / "&amp;Anmeldung!$J$33,"")</f>
        <v/>
      </c>
      <c r="FU20" t="str">
        <f>IF(AND(26&lt;&gt;33,Anmeldung!$D$33&lt;&gt;"",Anmeldung!$G$33=Anmeldung!$G$40,Anmeldung!$J$33=Anmeldung!$J$40),Anmeldung!$B$33&amp;": "&amp;Anmeldung!$D$33&amp;", "&amp;Anmeldung!$E$33&amp;" / "&amp;Anmeldung!$G$33&amp;" / "&amp;Anmeldung!$J$33,"")</f>
        <v/>
      </c>
      <c r="FV20" t="str">
        <f>IF(AND(26&lt;&gt;33,Anmeldung!$D$33&lt;&gt;"",Anmeldung!$G$33=Anmeldung!$G$40,Anmeldung!$J$33=Anmeldung!$J$40,(Anmeldung!$B$33&amp;": "&amp;Anmeldung!$D$33&amp;", "&amp;Anmeldung!$E$33&amp;" / "&amp;Anmeldung!$G$33&amp;" / "&amp;Anmeldung!$J$33)&lt;&gt;Anmeldung!$P$40),Anmeldung!$B$33&amp;": "&amp;Anmeldung!$D$33&amp;", "&amp;Anmeldung!$E$33&amp;" / "&amp;Anmeldung!$G$33&amp;" / "&amp;Anmeldung!$J$33,"")</f>
        <v/>
      </c>
      <c r="FW20" t="str">
        <f>IF(AND(26&lt;&gt;33,Anmeldung!$D$33&lt;&gt;"",Anmeldung!$G$33=Anmeldung!$G$40,Anmeldung!$J$33=Anmeldung!$J$40,(Anmeldung!$B$33&amp;": "&amp;Anmeldung!$D$33&amp;", "&amp;Anmeldung!$E$33&amp;" / "&amp;Anmeldung!$G$33&amp;" / "&amp;Anmeldung!$J$33)&lt;&gt;Anmeldung!$O$40),Anmeldung!$B$33&amp;": "&amp;Anmeldung!$D$33&amp;", "&amp;Anmeldung!$E$33&amp;" / "&amp;Anmeldung!$G$33&amp;" / "&amp;Anmeldung!$J$33,"")</f>
        <v/>
      </c>
      <c r="FX20" t="str">
        <f>IF(AND(26&lt;&gt;33,Anmeldung!$D$33&lt;&gt;"",Anmeldung!$G$33&lt;&gt;Anmeldung!$G$40,(Anmeldung!$B$33&amp;": "&amp;Anmeldung!$D$33&amp;", "&amp;Anmeldung!$E$33&amp;" / "&amp;Anmeldung!$G$33&amp;" / "&amp;Anmeldung!$J$33)&lt;&gt;Anmeldung!$S$40),Anmeldung!$B$33&amp;": "&amp;Anmeldung!$D$33&amp;", "&amp;Anmeldung!$E$33&amp;" / "&amp;Anmeldung!$G$33&amp;" / "&amp;Anmeldung!$J$33,"")</f>
        <v/>
      </c>
      <c r="FY20" t="str">
        <f>IF(AND(26&lt;&gt;33,Anmeldung!$D$33&lt;&gt;"",(Anmeldung!$B$33&amp;": "&amp;Anmeldung!$D$33&amp;", "&amp;Anmeldung!$E$33&amp;" / "&amp;Anmeldung!$G$33&amp;" / "&amp;Anmeldung!$J$33)&lt;&gt;Anmeldung!$R$40),Anmeldung!$B$33&amp;": "&amp;Anmeldung!$D$33&amp;", "&amp;Anmeldung!$E$33&amp;" / "&amp;Anmeldung!$G$33&amp;" / "&amp;Anmeldung!$J$33,"")</f>
        <v/>
      </c>
      <c r="FZ20" t="str">
        <f>IF(AND(25&lt;&gt;32,Anmeldung!$D$33&lt;&gt;"",Anmeldung!$U$33="Ja",Anmeldung!$G$33=Anmeldung!$G$40,Anmeldung!$J$33=Anmeldung!$J$40),Anmeldung!$B$33&amp;": "&amp;Anmeldung!$D$33&amp;", "&amp;Anmeldung!$E$33&amp;" / "&amp;Anmeldung!$G$33&amp;" / "&amp;Anmeldung!$J$33,"")</f>
        <v/>
      </c>
      <c r="GC20" t="str">
        <f>IF(AND(26&lt;&gt;34,Anmeldung!$D$33&lt;&gt;"",Anmeldung!$G$33=Anmeldung!$G$41,Anmeldung!$J$33=Anmeldung!$J$41),Anmeldung!$B$33&amp;": "&amp;Anmeldung!$D$33&amp;", "&amp;Anmeldung!$E$33&amp;" / "&amp;Anmeldung!$G$33&amp;" / "&amp;Anmeldung!$J$33,"")</f>
        <v/>
      </c>
      <c r="GD20" t="str">
        <f>IF(AND(26&lt;&gt;34,Anmeldung!$D$33&lt;&gt;"",Anmeldung!$G$33=Anmeldung!$G$41,Anmeldung!$J$33=Anmeldung!$J$41,(Anmeldung!$B$33&amp;": "&amp;Anmeldung!$D$33&amp;", "&amp;Anmeldung!$E$33&amp;" / "&amp;Anmeldung!$G$33&amp;" / "&amp;Anmeldung!$J$33)&lt;&gt;Anmeldung!$P$41),Anmeldung!$B$33&amp;": "&amp;Anmeldung!$D$33&amp;", "&amp;Anmeldung!$E$33&amp;" / "&amp;Anmeldung!$G$33&amp;" / "&amp;Anmeldung!$J$33,"")</f>
        <v/>
      </c>
      <c r="GE20" t="str">
        <f>IF(AND(26&lt;&gt;34,Anmeldung!$D$33&lt;&gt;"",Anmeldung!$G$33=Anmeldung!$G$41,Anmeldung!$J$33=Anmeldung!$J$41,(Anmeldung!$B$33&amp;": "&amp;Anmeldung!$D$33&amp;", "&amp;Anmeldung!$E$33&amp;" / "&amp;Anmeldung!$G$33&amp;" / "&amp;Anmeldung!$J$33)&lt;&gt;Anmeldung!$O$41),Anmeldung!$B$33&amp;": "&amp;Anmeldung!$D$33&amp;", "&amp;Anmeldung!$E$33&amp;" / "&amp;Anmeldung!$G$33&amp;" / "&amp;Anmeldung!$J$33,"")</f>
        <v/>
      </c>
      <c r="GF20" t="str">
        <f>IF(AND(26&lt;&gt;34,Anmeldung!$D$33&lt;&gt;"",Anmeldung!$G$33&lt;&gt;Anmeldung!$G$41,(Anmeldung!$B$33&amp;": "&amp;Anmeldung!$D$33&amp;", "&amp;Anmeldung!$E$33&amp;" / "&amp;Anmeldung!$G$33&amp;" / "&amp;Anmeldung!$J$33)&lt;&gt;Anmeldung!$S$41),Anmeldung!$B$33&amp;": "&amp;Anmeldung!$D$33&amp;", "&amp;Anmeldung!$E$33&amp;" / "&amp;Anmeldung!$G$33&amp;" / "&amp;Anmeldung!$J$33,"")</f>
        <v/>
      </c>
      <c r="GG20" t="str">
        <f>IF(AND(26&lt;&gt;34,Anmeldung!$D$33&lt;&gt;"",(Anmeldung!$B$33&amp;": "&amp;Anmeldung!$D$33&amp;", "&amp;Anmeldung!$E$33&amp;" / "&amp;Anmeldung!$G$33&amp;" / "&amp;Anmeldung!$J$33)&lt;&gt;Anmeldung!$R$41),Anmeldung!$B$33&amp;": "&amp;Anmeldung!$D$33&amp;", "&amp;Anmeldung!$E$33&amp;" / "&amp;Anmeldung!$G$33&amp;" / "&amp;Anmeldung!$J$33,"")</f>
        <v/>
      </c>
      <c r="GH20" t="str">
        <f>IF(AND(25&lt;&gt;33,Anmeldung!$D$33&lt;&gt;"",Anmeldung!$U$33="Ja",Anmeldung!$G$33=Anmeldung!$G$41,Anmeldung!$J$33=Anmeldung!$J$41),Anmeldung!$B$33&amp;": "&amp;Anmeldung!$D$33&amp;", "&amp;Anmeldung!$E$33&amp;" / "&amp;Anmeldung!$G$33&amp;" / "&amp;Anmeldung!$J$33,"")</f>
        <v/>
      </c>
      <c r="GK20" t="str">
        <f>IF(AND(26&lt;&gt;35,Anmeldung!$D$33&lt;&gt;"",Anmeldung!$G$33=Anmeldung!$G$42,Anmeldung!$J$33=Anmeldung!$J$42),Anmeldung!$B$33&amp;": "&amp;Anmeldung!$D$33&amp;", "&amp;Anmeldung!$E$33&amp;" / "&amp;Anmeldung!$G$33&amp;" / "&amp;Anmeldung!$J$33,"")</f>
        <v/>
      </c>
      <c r="GL20" t="str">
        <f>IF(AND(26&lt;&gt;35,Anmeldung!$D$33&lt;&gt;"",Anmeldung!$G$33=Anmeldung!$G$42,Anmeldung!$J$33=Anmeldung!$J$42,(Anmeldung!$B$33&amp;": "&amp;Anmeldung!$D$33&amp;", "&amp;Anmeldung!$E$33&amp;" / "&amp;Anmeldung!$G$33&amp;" / "&amp;Anmeldung!$J$33)&lt;&gt;Anmeldung!$P$42),Anmeldung!$B$33&amp;": "&amp;Anmeldung!$D$33&amp;", "&amp;Anmeldung!$E$33&amp;" / "&amp;Anmeldung!$G$33&amp;" / "&amp;Anmeldung!$J$33,"")</f>
        <v/>
      </c>
      <c r="GM20" t="str">
        <f>IF(AND(26&lt;&gt;35,Anmeldung!$D$33&lt;&gt;"",Anmeldung!$G$33=Anmeldung!$G$42,Anmeldung!$J$33=Anmeldung!$J$42,(Anmeldung!$B$33&amp;": "&amp;Anmeldung!$D$33&amp;", "&amp;Anmeldung!$E$33&amp;" / "&amp;Anmeldung!$G$33&amp;" / "&amp;Anmeldung!$J$33)&lt;&gt;Anmeldung!$O$42),Anmeldung!$B$33&amp;": "&amp;Anmeldung!$D$33&amp;", "&amp;Anmeldung!$E$33&amp;" / "&amp;Anmeldung!$G$33&amp;" / "&amp;Anmeldung!$J$33,"")</f>
        <v/>
      </c>
      <c r="GN20" t="str">
        <f>IF(AND(26&lt;&gt;35,Anmeldung!$D$33&lt;&gt;"",Anmeldung!$G$33&lt;&gt;Anmeldung!$G$42,(Anmeldung!$B$33&amp;": "&amp;Anmeldung!$D$33&amp;", "&amp;Anmeldung!$E$33&amp;" / "&amp;Anmeldung!$G$33&amp;" / "&amp;Anmeldung!$J$33)&lt;&gt;Anmeldung!$S$42),Anmeldung!$B$33&amp;": "&amp;Anmeldung!$D$33&amp;", "&amp;Anmeldung!$E$33&amp;" / "&amp;Anmeldung!$G$33&amp;" / "&amp;Anmeldung!$J$33,"")</f>
        <v/>
      </c>
      <c r="GO20" t="str">
        <f>IF(AND(26&lt;&gt;35,Anmeldung!$D$33&lt;&gt;"",(Anmeldung!$B$33&amp;": "&amp;Anmeldung!$D$33&amp;", "&amp;Anmeldung!$E$33&amp;" / "&amp;Anmeldung!$G$33&amp;" / "&amp;Anmeldung!$J$33)&lt;&gt;Anmeldung!$R$42),Anmeldung!$B$33&amp;": "&amp;Anmeldung!$D$33&amp;", "&amp;Anmeldung!$E$33&amp;" / "&amp;Anmeldung!$G$33&amp;" / "&amp;Anmeldung!$J$33,"")</f>
        <v/>
      </c>
      <c r="GP20" t="str">
        <f>IF(AND(25&lt;&gt;34,Anmeldung!$D$33&lt;&gt;"",Anmeldung!$U$33="Ja",Anmeldung!$G$33=Anmeldung!$G$42,Anmeldung!$J$33=Anmeldung!$J$42),Anmeldung!$B$33&amp;": "&amp;Anmeldung!$D$33&amp;", "&amp;Anmeldung!$E$33&amp;" / "&amp;Anmeldung!$G$33&amp;" / "&amp;Anmeldung!$J$33,"")</f>
        <v/>
      </c>
      <c r="GS20" t="str">
        <f>IF(AND(26&lt;&gt;36,Anmeldung!$D$33&lt;&gt;"",Anmeldung!$G$33=Anmeldung!$G$43,Anmeldung!$J$33=Anmeldung!$J$43),Anmeldung!$B$33&amp;": "&amp;Anmeldung!$D$33&amp;", "&amp;Anmeldung!$E$33&amp;" / "&amp;Anmeldung!$G$33&amp;" / "&amp;Anmeldung!$J$33,"")</f>
        <v/>
      </c>
      <c r="GT20" t="str">
        <f>IF(AND(26&lt;&gt;36,Anmeldung!$D$33&lt;&gt;"",Anmeldung!$G$33=Anmeldung!$G$43,Anmeldung!$J$33=Anmeldung!$J$43,(Anmeldung!$B$33&amp;": "&amp;Anmeldung!$D$33&amp;", "&amp;Anmeldung!$E$33&amp;" / "&amp;Anmeldung!$G$33&amp;" / "&amp;Anmeldung!$J$33)&lt;&gt;Anmeldung!$P$43),Anmeldung!$B$33&amp;": "&amp;Anmeldung!$D$33&amp;", "&amp;Anmeldung!$E$33&amp;" / "&amp;Anmeldung!$G$33&amp;" / "&amp;Anmeldung!$J$33,"")</f>
        <v/>
      </c>
      <c r="GU20" t="str">
        <f>IF(AND(26&lt;&gt;36,Anmeldung!$D$33&lt;&gt;"",Anmeldung!$G$33=Anmeldung!$G$43,Anmeldung!$J$33=Anmeldung!$J$43,(Anmeldung!$B$33&amp;": "&amp;Anmeldung!$D$33&amp;", "&amp;Anmeldung!$E$33&amp;" / "&amp;Anmeldung!$G$33&amp;" / "&amp;Anmeldung!$J$33)&lt;&gt;Anmeldung!$O$43),Anmeldung!$B$33&amp;": "&amp;Anmeldung!$D$33&amp;", "&amp;Anmeldung!$E$33&amp;" / "&amp;Anmeldung!$G$33&amp;" / "&amp;Anmeldung!$J$33,"")</f>
        <v/>
      </c>
      <c r="GV20" t="str">
        <f>IF(AND(26&lt;&gt;36,Anmeldung!$D$33&lt;&gt;"",Anmeldung!$G$33&lt;&gt;Anmeldung!$G$43,(Anmeldung!$B$33&amp;": "&amp;Anmeldung!$D$33&amp;", "&amp;Anmeldung!$E$33&amp;" / "&amp;Anmeldung!$G$33&amp;" / "&amp;Anmeldung!$J$33)&lt;&gt;Anmeldung!$S$43),Anmeldung!$B$33&amp;": "&amp;Anmeldung!$D$33&amp;", "&amp;Anmeldung!$E$33&amp;" / "&amp;Anmeldung!$G$33&amp;" / "&amp;Anmeldung!$J$33,"")</f>
        <v/>
      </c>
      <c r="GW20" t="str">
        <f>IF(AND(26&lt;&gt;36,Anmeldung!$D$33&lt;&gt;"",(Anmeldung!$B$33&amp;": "&amp;Anmeldung!$D$33&amp;", "&amp;Anmeldung!$E$33&amp;" / "&amp;Anmeldung!$G$33&amp;" / "&amp;Anmeldung!$J$33)&lt;&gt;Anmeldung!$R$43),Anmeldung!$B$33&amp;": "&amp;Anmeldung!$D$33&amp;", "&amp;Anmeldung!$E$33&amp;" / "&amp;Anmeldung!$G$33&amp;" / "&amp;Anmeldung!$J$33,"")</f>
        <v/>
      </c>
      <c r="GX20" t="str">
        <f>IF(AND(25&lt;&gt;35,Anmeldung!$D$33&lt;&gt;"",Anmeldung!$U$33="Ja",Anmeldung!$G$33=Anmeldung!$G$43,Anmeldung!$J$33=Anmeldung!$J$43),Anmeldung!$B$33&amp;": "&amp;Anmeldung!$D$33&amp;", "&amp;Anmeldung!$E$33&amp;" / "&amp;Anmeldung!$G$33&amp;" / "&amp;Anmeldung!$J$33,"")</f>
        <v/>
      </c>
      <c r="HA20" t="str">
        <f>IF(AND(26&lt;&gt;37,Anmeldung!$D$33&lt;&gt;"",Anmeldung!$G$33=Anmeldung!$G$44,Anmeldung!$J$33=Anmeldung!$J$44),Anmeldung!$B$33&amp;": "&amp;Anmeldung!$D$33&amp;", "&amp;Anmeldung!$E$33&amp;" / "&amp;Anmeldung!$G$33&amp;" / "&amp;Anmeldung!$J$33,"")</f>
        <v/>
      </c>
      <c r="HB20" t="str">
        <f>IF(AND(26&lt;&gt;37,Anmeldung!$D$33&lt;&gt;"",Anmeldung!$G$33=Anmeldung!$G$44,Anmeldung!$J$33=Anmeldung!$J$44,(Anmeldung!$B$33&amp;": "&amp;Anmeldung!$D$33&amp;", "&amp;Anmeldung!$E$33&amp;" / "&amp;Anmeldung!$G$33&amp;" / "&amp;Anmeldung!$J$33)&lt;&gt;Anmeldung!$P$44),Anmeldung!$B$33&amp;": "&amp;Anmeldung!$D$33&amp;", "&amp;Anmeldung!$E$33&amp;" / "&amp;Anmeldung!$G$33&amp;" / "&amp;Anmeldung!$J$33,"")</f>
        <v/>
      </c>
      <c r="HC20" t="str">
        <f>IF(AND(26&lt;&gt;37,Anmeldung!$D$33&lt;&gt;"",Anmeldung!$G$33=Anmeldung!$G$44,Anmeldung!$J$33=Anmeldung!$J$44,(Anmeldung!$B$33&amp;": "&amp;Anmeldung!$D$33&amp;", "&amp;Anmeldung!$E$33&amp;" / "&amp;Anmeldung!$G$33&amp;" / "&amp;Anmeldung!$J$33)&lt;&gt;Anmeldung!$O$44),Anmeldung!$B$33&amp;": "&amp;Anmeldung!$D$33&amp;", "&amp;Anmeldung!$E$33&amp;" / "&amp;Anmeldung!$G$33&amp;" / "&amp;Anmeldung!$J$33,"")</f>
        <v/>
      </c>
      <c r="HD20" t="str">
        <f>IF(AND(26&lt;&gt;37,Anmeldung!$D$33&lt;&gt;"",Anmeldung!$G$33&lt;&gt;Anmeldung!$G$44,(Anmeldung!$B$33&amp;": "&amp;Anmeldung!$D$33&amp;", "&amp;Anmeldung!$E$33&amp;" / "&amp;Anmeldung!$G$33&amp;" / "&amp;Anmeldung!$J$33)&lt;&gt;Anmeldung!$S$44),Anmeldung!$B$33&amp;": "&amp;Anmeldung!$D$33&amp;", "&amp;Anmeldung!$E$33&amp;" / "&amp;Anmeldung!$G$33&amp;" / "&amp;Anmeldung!$J$33,"")</f>
        <v/>
      </c>
      <c r="HE20" t="str">
        <f>IF(AND(26&lt;&gt;37,Anmeldung!$D$33&lt;&gt;"",(Anmeldung!$B$33&amp;": "&amp;Anmeldung!$D$33&amp;", "&amp;Anmeldung!$E$33&amp;" / "&amp;Anmeldung!$G$33&amp;" / "&amp;Anmeldung!$J$33)&lt;&gt;Anmeldung!$R$44),Anmeldung!$B$33&amp;": "&amp;Anmeldung!$D$33&amp;", "&amp;Anmeldung!$E$33&amp;" / "&amp;Anmeldung!$G$33&amp;" / "&amp;Anmeldung!$J$33,"")</f>
        <v/>
      </c>
      <c r="HF20" t="str">
        <f>IF(AND(25&lt;&gt;36,Anmeldung!$D$33&lt;&gt;"",Anmeldung!$U$33="Ja",Anmeldung!$G$33=Anmeldung!$G$44,Anmeldung!$J$33=Anmeldung!$J$44),Anmeldung!$B$33&amp;": "&amp;Anmeldung!$D$33&amp;", "&amp;Anmeldung!$E$33&amp;" / "&amp;Anmeldung!$G$33&amp;" / "&amp;Anmeldung!$J$33,"")</f>
        <v/>
      </c>
      <c r="HI20" t="str">
        <f>IF(AND(26&lt;&gt;38,Anmeldung!$D$33&lt;&gt;"",Anmeldung!$G$33=Anmeldung!$G$45,Anmeldung!$J$33=Anmeldung!$J$45),Anmeldung!$B$33&amp;": "&amp;Anmeldung!$D$33&amp;", "&amp;Anmeldung!$E$33&amp;" / "&amp;Anmeldung!$G$33&amp;" / "&amp;Anmeldung!$J$33,"")</f>
        <v/>
      </c>
      <c r="HJ20" t="str">
        <f>IF(AND(26&lt;&gt;38,Anmeldung!$D$33&lt;&gt;"",Anmeldung!$G$33=Anmeldung!$G$45,Anmeldung!$J$33=Anmeldung!$J$45,(Anmeldung!$B$33&amp;": "&amp;Anmeldung!$D$33&amp;", "&amp;Anmeldung!$E$33&amp;" / "&amp;Anmeldung!$G$33&amp;" / "&amp;Anmeldung!$J$33)&lt;&gt;Anmeldung!$P$45),Anmeldung!$B$33&amp;": "&amp;Anmeldung!$D$33&amp;", "&amp;Anmeldung!$E$33&amp;" / "&amp;Anmeldung!$G$33&amp;" / "&amp;Anmeldung!$J$33,"")</f>
        <v/>
      </c>
      <c r="HK20" t="str">
        <f>IF(AND(26&lt;&gt;38,Anmeldung!$D$33&lt;&gt;"",Anmeldung!$G$33=Anmeldung!$G$45,Anmeldung!$J$33=Anmeldung!$J$45,(Anmeldung!$B$33&amp;": "&amp;Anmeldung!$D$33&amp;", "&amp;Anmeldung!$E$33&amp;" / "&amp;Anmeldung!$G$33&amp;" / "&amp;Anmeldung!$J$33)&lt;&gt;Anmeldung!$O$45),Anmeldung!$B$33&amp;": "&amp;Anmeldung!$D$33&amp;", "&amp;Anmeldung!$E$33&amp;" / "&amp;Anmeldung!$G$33&amp;" / "&amp;Anmeldung!$J$33,"")</f>
        <v/>
      </c>
      <c r="HL20" t="str">
        <f>IF(AND(26&lt;&gt;38,Anmeldung!$D$33&lt;&gt;"",Anmeldung!$G$33&lt;&gt;Anmeldung!$G$45,(Anmeldung!$B$33&amp;": "&amp;Anmeldung!$D$33&amp;", "&amp;Anmeldung!$E$33&amp;" / "&amp;Anmeldung!$G$33&amp;" / "&amp;Anmeldung!$J$33)&lt;&gt;Anmeldung!$S$45),Anmeldung!$B$33&amp;": "&amp;Anmeldung!$D$33&amp;", "&amp;Anmeldung!$E$33&amp;" / "&amp;Anmeldung!$G$33&amp;" / "&amp;Anmeldung!$J$33,"")</f>
        <v/>
      </c>
      <c r="HM20" t="str">
        <f>IF(AND(26&lt;&gt;38,Anmeldung!$D$33&lt;&gt;"",(Anmeldung!$B$33&amp;": "&amp;Anmeldung!$D$33&amp;", "&amp;Anmeldung!$E$33&amp;" / "&amp;Anmeldung!$G$33&amp;" / "&amp;Anmeldung!$J$33)&lt;&gt;Anmeldung!$R$45),Anmeldung!$B$33&amp;": "&amp;Anmeldung!$D$33&amp;", "&amp;Anmeldung!$E$33&amp;" / "&amp;Anmeldung!$G$33&amp;" / "&amp;Anmeldung!$J$33,"")</f>
        <v/>
      </c>
      <c r="HN20" t="str">
        <f>IF(AND(25&lt;&gt;37,Anmeldung!$D$33&lt;&gt;"",Anmeldung!$U$33="Ja",Anmeldung!$G$33=Anmeldung!$G$45,Anmeldung!$J$33=Anmeldung!$J$45),Anmeldung!$B$33&amp;": "&amp;Anmeldung!$D$33&amp;", "&amp;Anmeldung!$E$33&amp;" / "&amp;Anmeldung!$G$33&amp;" / "&amp;Anmeldung!$J$33,"")</f>
        <v/>
      </c>
      <c r="HQ20" t="str">
        <f>IF(AND(26&lt;&gt;39,Anmeldung!$D$33&lt;&gt;"",Anmeldung!$G$33=Anmeldung!$G$46,Anmeldung!$J$33=Anmeldung!$J$46),Anmeldung!$B$33&amp;": "&amp;Anmeldung!$D$33&amp;", "&amp;Anmeldung!$E$33&amp;" / "&amp;Anmeldung!$G$33&amp;" / "&amp;Anmeldung!$J$33,"")</f>
        <v/>
      </c>
      <c r="HR20" t="str">
        <f>IF(AND(26&lt;&gt;39,Anmeldung!$D$33&lt;&gt;"",Anmeldung!$G$33=Anmeldung!$G$46,Anmeldung!$J$33=Anmeldung!$J$46,(Anmeldung!$B$33&amp;": "&amp;Anmeldung!$D$33&amp;", "&amp;Anmeldung!$E$33&amp;" / "&amp;Anmeldung!$G$33&amp;" / "&amp;Anmeldung!$J$33)&lt;&gt;Anmeldung!$P$46),Anmeldung!$B$33&amp;": "&amp;Anmeldung!$D$33&amp;", "&amp;Anmeldung!$E$33&amp;" / "&amp;Anmeldung!$G$33&amp;" / "&amp;Anmeldung!$J$33,"")</f>
        <v/>
      </c>
      <c r="HS20" t="str">
        <f>IF(AND(26&lt;&gt;39,Anmeldung!$D$33&lt;&gt;"",Anmeldung!$G$33=Anmeldung!$G$46,Anmeldung!$J$33=Anmeldung!$J$46,(Anmeldung!$B$33&amp;": "&amp;Anmeldung!$D$33&amp;", "&amp;Anmeldung!$E$33&amp;" / "&amp;Anmeldung!$G$33&amp;" / "&amp;Anmeldung!$J$33)&lt;&gt;Anmeldung!$O$46),Anmeldung!$B$33&amp;": "&amp;Anmeldung!$D$33&amp;", "&amp;Anmeldung!$E$33&amp;" / "&amp;Anmeldung!$G$33&amp;" / "&amp;Anmeldung!$J$33,"")</f>
        <v/>
      </c>
      <c r="HT20" t="str">
        <f>IF(AND(26&lt;&gt;39,Anmeldung!$D$33&lt;&gt;"",Anmeldung!$G$33&lt;&gt;Anmeldung!$G$46,(Anmeldung!$B$33&amp;": "&amp;Anmeldung!$D$33&amp;", "&amp;Anmeldung!$E$33&amp;" / "&amp;Anmeldung!$G$33&amp;" / "&amp;Anmeldung!$J$33)&lt;&gt;Anmeldung!$S$46),Anmeldung!$B$33&amp;": "&amp;Anmeldung!$D$33&amp;", "&amp;Anmeldung!$E$33&amp;" / "&amp;Anmeldung!$G$33&amp;" / "&amp;Anmeldung!$J$33,"")</f>
        <v/>
      </c>
      <c r="HU20" t="str">
        <f>IF(AND(26&lt;&gt;39,Anmeldung!$D$33&lt;&gt;"",(Anmeldung!$B$33&amp;": "&amp;Anmeldung!$D$33&amp;", "&amp;Anmeldung!$E$33&amp;" / "&amp;Anmeldung!$G$33&amp;" / "&amp;Anmeldung!$J$33)&lt;&gt;Anmeldung!$R$46),Anmeldung!$B$33&amp;": "&amp;Anmeldung!$D$33&amp;", "&amp;Anmeldung!$E$33&amp;" / "&amp;Anmeldung!$G$33&amp;" / "&amp;Anmeldung!$J$33,"")</f>
        <v/>
      </c>
      <c r="HV20" t="str">
        <f>IF(AND(25&lt;&gt;38,Anmeldung!$D$33&lt;&gt;"",Anmeldung!$U$33="Ja",Anmeldung!$G$33=Anmeldung!$G$46,Anmeldung!$J$33=Anmeldung!$J$46),Anmeldung!$B$33&amp;": "&amp;Anmeldung!$D$33&amp;", "&amp;Anmeldung!$E$33&amp;" / "&amp;Anmeldung!$G$33&amp;" / "&amp;Anmeldung!$J$33,"")</f>
        <v/>
      </c>
      <c r="HY20" t="str">
        <f>IF(AND(26&lt;&gt;40,Anmeldung!$D$33&lt;&gt;"",Anmeldung!$G$33=Anmeldung!$G$47,Anmeldung!$J$33=Anmeldung!$J$47),Anmeldung!$B$33&amp;": "&amp;Anmeldung!$D$33&amp;", "&amp;Anmeldung!$E$33&amp;" / "&amp;Anmeldung!$G$33&amp;" / "&amp;Anmeldung!$J$33,"")</f>
        <v/>
      </c>
      <c r="HZ20" t="str">
        <f>IF(AND(26&lt;&gt;40,Anmeldung!$D$33&lt;&gt;"",Anmeldung!$G$33=Anmeldung!$G$47,Anmeldung!$J$33=Anmeldung!$J$47,(Anmeldung!$B$33&amp;": "&amp;Anmeldung!$D$33&amp;", "&amp;Anmeldung!$E$33&amp;" / "&amp;Anmeldung!$G$33&amp;" / "&amp;Anmeldung!$J$33)&lt;&gt;Anmeldung!$P$47),Anmeldung!$B$33&amp;": "&amp;Anmeldung!$D$33&amp;", "&amp;Anmeldung!$E$33&amp;" / "&amp;Anmeldung!$G$33&amp;" / "&amp;Anmeldung!$J$33,"")</f>
        <v/>
      </c>
      <c r="IA20" t="str">
        <f>IF(AND(26&lt;&gt;40,Anmeldung!$D$33&lt;&gt;"",Anmeldung!$G$33=Anmeldung!$G$47,Anmeldung!$J$33=Anmeldung!$J$47,(Anmeldung!$B$33&amp;": "&amp;Anmeldung!$D$33&amp;", "&amp;Anmeldung!$E$33&amp;" / "&amp;Anmeldung!$G$33&amp;" / "&amp;Anmeldung!$J$33)&lt;&gt;Anmeldung!$O$47),Anmeldung!$B$33&amp;": "&amp;Anmeldung!$D$33&amp;", "&amp;Anmeldung!$E$33&amp;" / "&amp;Anmeldung!$G$33&amp;" / "&amp;Anmeldung!$J$33,"")</f>
        <v/>
      </c>
      <c r="IB20" t="str">
        <f>IF(AND(26&lt;&gt;40,Anmeldung!$D$33&lt;&gt;"",Anmeldung!$G$33&lt;&gt;Anmeldung!$G$47,(Anmeldung!$B$33&amp;": "&amp;Anmeldung!$D$33&amp;", "&amp;Anmeldung!$E$33&amp;" / "&amp;Anmeldung!$G$33&amp;" / "&amp;Anmeldung!$J$33)&lt;&gt;Anmeldung!$S$47),Anmeldung!$B$33&amp;": "&amp;Anmeldung!$D$33&amp;", "&amp;Anmeldung!$E$33&amp;" / "&amp;Anmeldung!$G$33&amp;" / "&amp;Anmeldung!$J$33,"")</f>
        <v/>
      </c>
      <c r="IC20" t="str">
        <f>IF(AND(26&lt;&gt;40,Anmeldung!$D$33&lt;&gt;"",(Anmeldung!$B$33&amp;": "&amp;Anmeldung!$D$33&amp;", "&amp;Anmeldung!$E$33&amp;" / "&amp;Anmeldung!$G$33&amp;" / "&amp;Anmeldung!$J$33)&lt;&gt;Anmeldung!$R$47),Anmeldung!$B$33&amp;": "&amp;Anmeldung!$D$33&amp;", "&amp;Anmeldung!$E$33&amp;" / "&amp;Anmeldung!$G$33&amp;" / "&amp;Anmeldung!$J$33,"")</f>
        <v/>
      </c>
      <c r="ID20" t="str">
        <f>IF(AND(25&lt;&gt;39,Anmeldung!$D$33&lt;&gt;"",Anmeldung!$U$33="Ja",Anmeldung!$G$33=Anmeldung!$G$47,Anmeldung!$J$33=Anmeldung!$J$47),Anmeldung!$B$33&amp;": "&amp;Anmeldung!$D$33&amp;", "&amp;Anmeldung!$E$33&amp;" / "&amp;Anmeldung!$G$33&amp;" / "&amp;Anmeldung!$J$33,"")</f>
        <v/>
      </c>
    </row>
    <row r="21" spans="1:238" ht="14.25" customHeight="1" x14ac:dyDescent="0.3">
      <c r="A21" t="str">
        <f>IF(AND(27&lt;&gt;11,Anmeldung!$D$34&lt;&gt;"",Anmeldung!$G$34=Anmeldung!$G$18,Anmeldung!$J$34=Anmeldung!$J$18),Anmeldung!$B$34&amp;": "&amp;Anmeldung!$D$34&amp;", "&amp;Anmeldung!$E$34&amp;" / "&amp;Anmeldung!$G$34&amp;" / "&amp;Anmeldung!$J$34,"")</f>
        <v/>
      </c>
      <c r="B21" t="str">
        <f>IF(AND(27&lt;&gt;11,Anmeldung!$D$34&lt;&gt;"",Anmeldung!$G$34=Anmeldung!$G$18,Anmeldung!$J$34=Anmeldung!$J$18,(Anmeldung!$B$34&amp;": "&amp;Anmeldung!$D$34&amp;", "&amp;Anmeldung!$E$34&amp;" / "&amp;Anmeldung!$G$34&amp;" / "&amp;Anmeldung!$J$34)&lt;&gt;Anmeldung!$P$18),Anmeldung!$B$34&amp;": "&amp;Anmeldung!$D$34&amp;", "&amp;Anmeldung!$E$34&amp;" / "&amp;Anmeldung!$G$34&amp;" / "&amp;Anmeldung!$J$34,"")</f>
        <v/>
      </c>
      <c r="C21" t="str">
        <f>IF(AND(27&lt;&gt;11,Anmeldung!$D$34&lt;&gt;"",Anmeldung!$G$34=Anmeldung!$G$18,Anmeldung!$J$34=Anmeldung!$J$18,(Anmeldung!$B$34&amp;": "&amp;Anmeldung!$D$34&amp;", "&amp;Anmeldung!$E$34&amp;" / "&amp;Anmeldung!$G$34&amp;" / "&amp;Anmeldung!$J$34)&lt;&gt;Anmeldung!$O$18),Anmeldung!$B$34&amp;": "&amp;Anmeldung!$D$34&amp;", "&amp;Anmeldung!$E$34&amp;" / "&amp;Anmeldung!$G$34&amp;" / "&amp;Anmeldung!$J$34,"")</f>
        <v/>
      </c>
      <c r="D21" t="str">
        <f>IF(AND(27&lt;&gt;11,Anmeldung!$D$34&lt;&gt;"",Anmeldung!$G$34&lt;&gt;Anmeldung!$G$18,(Anmeldung!$B$34&amp;": "&amp;Anmeldung!$D$34&amp;", "&amp;Anmeldung!$E$34&amp;" / "&amp;Anmeldung!$G$34&amp;" / "&amp;Anmeldung!$J$34)&lt;&gt;Anmeldung!$S$18),Anmeldung!$B$34&amp;": "&amp;Anmeldung!$D$34&amp;", "&amp;Anmeldung!$E$34&amp;" / "&amp;Anmeldung!$G$34&amp;" / "&amp;Anmeldung!$J$34,"")</f>
        <v/>
      </c>
      <c r="E21" t="str">
        <f>IF(AND(27&lt;&gt;11,Anmeldung!$D$34&lt;&gt;"",(Anmeldung!$B$34&amp;": "&amp;Anmeldung!$D$34&amp;", "&amp;Anmeldung!$E$34&amp;" / "&amp;Anmeldung!$G$34&amp;" / "&amp;Anmeldung!$J$34)&lt;&gt;Anmeldung!$R$18),Anmeldung!$B$34&amp;": "&amp;Anmeldung!$D$34&amp;", "&amp;Anmeldung!$E$34&amp;" / "&amp;Anmeldung!$G$34&amp;" / "&amp;Anmeldung!$J$34,"")</f>
        <v/>
      </c>
      <c r="F21" t="str">
        <f>IF(AND(26&lt;&gt;10,Anmeldung!$D$34&lt;&gt;"",Anmeldung!$U$34="Ja",Anmeldung!$G$34=Anmeldung!$G$18,Anmeldung!$J$34=Anmeldung!$J$18),Anmeldung!$B$34&amp;": "&amp;Anmeldung!$D$34&amp;", "&amp;Anmeldung!$E$34&amp;" / "&amp;Anmeldung!$G$34&amp;" / "&amp;Anmeldung!$J$34,"")</f>
        <v/>
      </c>
      <c r="I21" t="str">
        <f>IF(AND(27&lt;&gt;12,Anmeldung!$D$34&lt;&gt;"",Anmeldung!$G$34=Anmeldung!$G$19,Anmeldung!$J$34=Anmeldung!$J$19),Anmeldung!$B$34&amp;": "&amp;Anmeldung!$D$34&amp;", "&amp;Anmeldung!$E$34&amp;" / "&amp;Anmeldung!$G$34&amp;" / "&amp;Anmeldung!$J$34,"")</f>
        <v/>
      </c>
      <c r="J21" t="str">
        <f>IF(AND(27&lt;&gt;12,Anmeldung!$D$34&lt;&gt;"",Anmeldung!$G$34=Anmeldung!$G$19,Anmeldung!$J$34=Anmeldung!$J$19,(Anmeldung!$B$34&amp;": "&amp;Anmeldung!$D$34&amp;", "&amp;Anmeldung!$E$34&amp;" / "&amp;Anmeldung!$G$34&amp;" / "&amp;Anmeldung!$J$34)&lt;&gt;Anmeldung!$P$19),Anmeldung!$B$34&amp;": "&amp;Anmeldung!$D$34&amp;", "&amp;Anmeldung!$E$34&amp;" / "&amp;Anmeldung!$G$34&amp;" / "&amp;Anmeldung!$J$34,"")</f>
        <v/>
      </c>
      <c r="K21" t="str">
        <f>IF(AND(27&lt;&gt;12,Anmeldung!$D$34&lt;&gt;"",Anmeldung!$G$34=Anmeldung!$G$19,Anmeldung!$J$34=Anmeldung!$J$19,(Anmeldung!$B$34&amp;": "&amp;Anmeldung!$D$34&amp;", "&amp;Anmeldung!$E$34&amp;" / "&amp;Anmeldung!$G$34&amp;" / "&amp;Anmeldung!$J$34)&lt;&gt;Anmeldung!$O$19),Anmeldung!$B$34&amp;": "&amp;Anmeldung!$D$34&amp;", "&amp;Anmeldung!$E$34&amp;" / "&amp;Anmeldung!$G$34&amp;" / "&amp;Anmeldung!$J$34,"")</f>
        <v/>
      </c>
      <c r="L21" t="str">
        <f>IF(AND(27&lt;&gt;12,Anmeldung!$D$34&lt;&gt;"",Anmeldung!$G$34&lt;&gt;Anmeldung!$G$19,(Anmeldung!$B$34&amp;": "&amp;Anmeldung!$D$34&amp;", "&amp;Anmeldung!$E$34&amp;" / "&amp;Anmeldung!$G$34&amp;" / "&amp;Anmeldung!$J$34)&lt;&gt;Anmeldung!$S$19),Anmeldung!$B$34&amp;": "&amp;Anmeldung!$D$34&amp;", "&amp;Anmeldung!$E$34&amp;" / "&amp;Anmeldung!$G$34&amp;" / "&amp;Anmeldung!$J$34,"")</f>
        <v/>
      </c>
      <c r="M21" t="str">
        <f>IF(AND(27&lt;&gt;12,Anmeldung!$D$34&lt;&gt;"",(Anmeldung!$B$34&amp;": "&amp;Anmeldung!$D$34&amp;", "&amp;Anmeldung!$E$34&amp;" / "&amp;Anmeldung!$G$34&amp;" / "&amp;Anmeldung!$J$34)&lt;&gt;Anmeldung!$R$19),Anmeldung!$B$34&amp;": "&amp;Anmeldung!$D$34&amp;", "&amp;Anmeldung!$E$34&amp;" / "&amp;Anmeldung!$G$34&amp;" / "&amp;Anmeldung!$J$34,"")</f>
        <v/>
      </c>
      <c r="N21" t="str">
        <f>IF(AND(26&lt;&gt;11,Anmeldung!$D$34&lt;&gt;"",Anmeldung!$U$34="Ja",Anmeldung!$G$34=Anmeldung!$G$19,Anmeldung!$J$34=Anmeldung!$J$19),Anmeldung!$B$34&amp;": "&amp;Anmeldung!$D$34&amp;", "&amp;Anmeldung!$E$34&amp;" / "&amp;Anmeldung!$G$34&amp;" / "&amp;Anmeldung!$J$34,"")</f>
        <v/>
      </c>
      <c r="Q21" t="str">
        <f>IF(AND(27&lt;&gt;13,Anmeldung!$D$34&lt;&gt;"",Anmeldung!$G$34=Anmeldung!$G$20,Anmeldung!$J$34=Anmeldung!$J$20),Anmeldung!$B$34&amp;": "&amp;Anmeldung!$D$34&amp;", "&amp;Anmeldung!$E$34&amp;" / "&amp;Anmeldung!$G$34&amp;" / "&amp;Anmeldung!$J$34,"")</f>
        <v/>
      </c>
      <c r="R21" t="str">
        <f>IF(AND(27&lt;&gt;13,Anmeldung!$D$34&lt;&gt;"",Anmeldung!$G$34=Anmeldung!$G$20,Anmeldung!$J$34=Anmeldung!$J$20,(Anmeldung!$B$34&amp;": "&amp;Anmeldung!$D$34&amp;", "&amp;Anmeldung!$E$34&amp;" / "&amp;Anmeldung!$G$34&amp;" / "&amp;Anmeldung!$J$34)&lt;&gt;Anmeldung!$P$20),Anmeldung!$B$34&amp;": "&amp;Anmeldung!$D$34&amp;", "&amp;Anmeldung!$E$34&amp;" / "&amp;Anmeldung!$G$34&amp;" / "&amp;Anmeldung!$J$34,"")</f>
        <v/>
      </c>
      <c r="S21" t="str">
        <f>IF(AND(27&lt;&gt;13,Anmeldung!$D$34&lt;&gt;"",Anmeldung!$G$34=Anmeldung!$G$20,Anmeldung!$J$34=Anmeldung!$J$20,(Anmeldung!$B$34&amp;": "&amp;Anmeldung!$D$34&amp;", "&amp;Anmeldung!$E$34&amp;" / "&amp;Anmeldung!$G$34&amp;" / "&amp;Anmeldung!$J$34)&lt;&gt;Anmeldung!$O$20),Anmeldung!$B$34&amp;": "&amp;Anmeldung!$D$34&amp;", "&amp;Anmeldung!$E$34&amp;" / "&amp;Anmeldung!$G$34&amp;" / "&amp;Anmeldung!$J$34,"")</f>
        <v/>
      </c>
      <c r="T21" t="str">
        <f>IF(AND(27&lt;&gt;13,Anmeldung!$D$34&lt;&gt;"",Anmeldung!$G$34&lt;&gt;Anmeldung!$G$20,(Anmeldung!$B$34&amp;": "&amp;Anmeldung!$D$34&amp;", "&amp;Anmeldung!$E$34&amp;" / "&amp;Anmeldung!$G$34&amp;" / "&amp;Anmeldung!$J$34)&lt;&gt;Anmeldung!$S$20),Anmeldung!$B$34&amp;": "&amp;Anmeldung!$D$34&amp;", "&amp;Anmeldung!$E$34&amp;" / "&amp;Anmeldung!$G$34&amp;" / "&amp;Anmeldung!$J$34,"")</f>
        <v/>
      </c>
      <c r="U21" t="str">
        <f>IF(AND(27&lt;&gt;13,Anmeldung!$D$34&lt;&gt;"",(Anmeldung!$B$34&amp;": "&amp;Anmeldung!$D$34&amp;", "&amp;Anmeldung!$E$34&amp;" / "&amp;Anmeldung!$G$34&amp;" / "&amp;Anmeldung!$J$34)&lt;&gt;Anmeldung!$R$20),Anmeldung!$B$34&amp;": "&amp;Anmeldung!$D$34&amp;", "&amp;Anmeldung!$E$34&amp;" / "&amp;Anmeldung!$G$34&amp;" / "&amp;Anmeldung!$J$34,"")</f>
        <v/>
      </c>
      <c r="V21" t="str">
        <f>IF(AND(26&lt;&gt;12,Anmeldung!$D$34&lt;&gt;"",Anmeldung!$U$34="Ja",Anmeldung!$G$34=Anmeldung!$G$20,Anmeldung!$J$34=Anmeldung!$J$20),Anmeldung!$B$34&amp;": "&amp;Anmeldung!$D$34&amp;", "&amp;Anmeldung!$E$34&amp;" / "&amp;Anmeldung!$G$34&amp;" / "&amp;Anmeldung!$J$34,"")</f>
        <v/>
      </c>
      <c r="Y21" t="str">
        <f>IF(AND(27&lt;&gt;14,Anmeldung!$D$34&lt;&gt;"",Anmeldung!$G$34=Anmeldung!$G$21,Anmeldung!$J$34=Anmeldung!$J$21),Anmeldung!$B$34&amp;": "&amp;Anmeldung!$D$34&amp;", "&amp;Anmeldung!$E$34&amp;" / "&amp;Anmeldung!$G$34&amp;" / "&amp;Anmeldung!$J$34,"")</f>
        <v/>
      </c>
      <c r="Z21" t="str">
        <f>IF(AND(27&lt;&gt;14,Anmeldung!$D$34&lt;&gt;"",Anmeldung!$G$34=Anmeldung!$G$21,Anmeldung!$J$34=Anmeldung!$J$21,(Anmeldung!$B$34&amp;": "&amp;Anmeldung!$D$34&amp;", "&amp;Anmeldung!$E$34&amp;" / "&amp;Anmeldung!$G$34&amp;" / "&amp;Anmeldung!$J$34)&lt;&gt;Anmeldung!$P$21),Anmeldung!$B$34&amp;": "&amp;Anmeldung!$D$34&amp;", "&amp;Anmeldung!$E$34&amp;" / "&amp;Anmeldung!$G$34&amp;" / "&amp;Anmeldung!$J$34,"")</f>
        <v/>
      </c>
      <c r="AA21" t="str">
        <f>IF(AND(27&lt;&gt;14,Anmeldung!$D$34&lt;&gt;"",Anmeldung!$G$34=Anmeldung!$G$21,Anmeldung!$J$34=Anmeldung!$J$21,(Anmeldung!$B$34&amp;": "&amp;Anmeldung!$D$34&amp;", "&amp;Anmeldung!$E$34&amp;" / "&amp;Anmeldung!$G$34&amp;" / "&amp;Anmeldung!$J$34)&lt;&gt;Anmeldung!$O$21),Anmeldung!$B$34&amp;": "&amp;Anmeldung!$D$34&amp;", "&amp;Anmeldung!$E$34&amp;" / "&amp;Anmeldung!$G$34&amp;" / "&amp;Anmeldung!$J$34,"")</f>
        <v/>
      </c>
      <c r="AB21" t="str">
        <f>IF(AND(27&lt;&gt;14,Anmeldung!$D$34&lt;&gt;"",Anmeldung!$G$34&lt;&gt;Anmeldung!$G$21,(Anmeldung!$B$34&amp;": "&amp;Anmeldung!$D$34&amp;", "&amp;Anmeldung!$E$34&amp;" / "&amp;Anmeldung!$G$34&amp;" / "&amp;Anmeldung!$J$34)&lt;&gt;Anmeldung!$S$21),Anmeldung!$B$34&amp;": "&amp;Anmeldung!$D$34&amp;", "&amp;Anmeldung!$E$34&amp;" / "&amp;Anmeldung!$G$34&amp;" / "&amp;Anmeldung!$J$34,"")</f>
        <v/>
      </c>
      <c r="AC21" t="str">
        <f>IF(AND(27&lt;&gt;14,Anmeldung!$D$34&lt;&gt;"",(Anmeldung!$B$34&amp;": "&amp;Anmeldung!$D$34&amp;", "&amp;Anmeldung!$E$34&amp;" / "&amp;Anmeldung!$G$34&amp;" / "&amp;Anmeldung!$J$34)&lt;&gt;Anmeldung!$R$21),Anmeldung!$B$34&amp;": "&amp;Anmeldung!$D$34&amp;", "&amp;Anmeldung!$E$34&amp;" / "&amp;Anmeldung!$G$34&amp;" / "&amp;Anmeldung!$J$34,"")</f>
        <v/>
      </c>
      <c r="AD21" t="str">
        <f>IF(AND(26&lt;&gt;13,Anmeldung!$D$34&lt;&gt;"",Anmeldung!$U$34="Ja",Anmeldung!$G$34=Anmeldung!$G$21,Anmeldung!$J$34=Anmeldung!$J$21),Anmeldung!$B$34&amp;": "&amp;Anmeldung!$D$34&amp;", "&amp;Anmeldung!$E$34&amp;" / "&amp;Anmeldung!$G$34&amp;" / "&amp;Anmeldung!$J$34,"")</f>
        <v/>
      </c>
      <c r="AG21" t="str">
        <f>IF(AND(27&lt;&gt;15,Anmeldung!$D$34&lt;&gt;"",Anmeldung!$G$34=Anmeldung!$G$22,Anmeldung!$J$34=Anmeldung!$J$22),Anmeldung!$B$34&amp;": "&amp;Anmeldung!$D$34&amp;", "&amp;Anmeldung!$E$34&amp;" / "&amp;Anmeldung!$G$34&amp;" / "&amp;Anmeldung!$J$34,"")</f>
        <v/>
      </c>
      <c r="AH21" t="str">
        <f>IF(AND(27&lt;&gt;15,Anmeldung!$D$34&lt;&gt;"",Anmeldung!$G$34=Anmeldung!$G$22,Anmeldung!$J$34=Anmeldung!$J$22,(Anmeldung!$B$34&amp;": "&amp;Anmeldung!$D$34&amp;", "&amp;Anmeldung!$E$34&amp;" / "&amp;Anmeldung!$G$34&amp;" / "&amp;Anmeldung!$J$34)&lt;&gt;Anmeldung!$P$22),Anmeldung!$B$34&amp;": "&amp;Anmeldung!$D$34&amp;", "&amp;Anmeldung!$E$34&amp;" / "&amp;Anmeldung!$G$34&amp;" / "&amp;Anmeldung!$J$34,"")</f>
        <v/>
      </c>
      <c r="AI21" t="str">
        <f>IF(AND(27&lt;&gt;15,Anmeldung!$D$34&lt;&gt;"",Anmeldung!$G$34=Anmeldung!$G$22,Anmeldung!$J$34=Anmeldung!$J$22,(Anmeldung!$B$34&amp;": "&amp;Anmeldung!$D$34&amp;", "&amp;Anmeldung!$E$34&amp;" / "&amp;Anmeldung!$G$34&amp;" / "&amp;Anmeldung!$J$34)&lt;&gt;Anmeldung!$O$22),Anmeldung!$B$34&amp;": "&amp;Anmeldung!$D$34&amp;", "&amp;Anmeldung!$E$34&amp;" / "&amp;Anmeldung!$G$34&amp;" / "&amp;Anmeldung!$J$34,"")</f>
        <v/>
      </c>
      <c r="AJ21" t="str">
        <f>IF(AND(27&lt;&gt;15,Anmeldung!$D$34&lt;&gt;"",Anmeldung!$G$34&lt;&gt;Anmeldung!$G$22,(Anmeldung!$B$34&amp;": "&amp;Anmeldung!$D$34&amp;", "&amp;Anmeldung!$E$34&amp;" / "&amp;Anmeldung!$G$34&amp;" / "&amp;Anmeldung!$J$34)&lt;&gt;Anmeldung!$S$22),Anmeldung!$B$34&amp;": "&amp;Anmeldung!$D$34&amp;", "&amp;Anmeldung!$E$34&amp;" / "&amp;Anmeldung!$G$34&amp;" / "&amp;Anmeldung!$J$34,"")</f>
        <v/>
      </c>
      <c r="AK21" t="str">
        <f>IF(AND(27&lt;&gt;15,Anmeldung!$D$34&lt;&gt;"",(Anmeldung!$B$34&amp;": "&amp;Anmeldung!$D$34&amp;", "&amp;Anmeldung!$E$34&amp;" / "&amp;Anmeldung!$G$34&amp;" / "&amp;Anmeldung!$J$34)&lt;&gt;Anmeldung!$R$22),Anmeldung!$B$34&amp;": "&amp;Anmeldung!$D$34&amp;", "&amp;Anmeldung!$E$34&amp;" / "&amp;Anmeldung!$G$34&amp;" / "&amp;Anmeldung!$J$34,"")</f>
        <v/>
      </c>
      <c r="AL21" t="str">
        <f>IF(AND(26&lt;&gt;14,Anmeldung!$D$34&lt;&gt;"",Anmeldung!$U$34="Ja",Anmeldung!$G$34=Anmeldung!$G$22,Anmeldung!$J$34=Anmeldung!$J$22),Anmeldung!$B$34&amp;": "&amp;Anmeldung!$D$34&amp;", "&amp;Anmeldung!$E$34&amp;" / "&amp;Anmeldung!$G$34&amp;" / "&amp;Anmeldung!$J$34,"")</f>
        <v/>
      </c>
      <c r="AO21" t="str">
        <f>IF(AND(27&lt;&gt;16,Anmeldung!$D$34&lt;&gt;"",Anmeldung!$G$34=Anmeldung!$G$23,Anmeldung!$J$34=Anmeldung!$J$23),Anmeldung!$B$34&amp;": "&amp;Anmeldung!$D$34&amp;", "&amp;Anmeldung!$E$34&amp;" / "&amp;Anmeldung!$G$34&amp;" / "&amp;Anmeldung!$J$34,"")</f>
        <v/>
      </c>
      <c r="AP21" t="str">
        <f>IF(AND(27&lt;&gt;16,Anmeldung!$D$34&lt;&gt;"",Anmeldung!$G$34=Anmeldung!$G$23,Anmeldung!$J$34=Anmeldung!$J$23,(Anmeldung!$B$34&amp;": "&amp;Anmeldung!$D$34&amp;", "&amp;Anmeldung!$E$34&amp;" / "&amp;Anmeldung!$G$34&amp;" / "&amp;Anmeldung!$J$34)&lt;&gt;Anmeldung!$P$23),Anmeldung!$B$34&amp;": "&amp;Anmeldung!$D$34&amp;", "&amp;Anmeldung!$E$34&amp;" / "&amp;Anmeldung!$G$34&amp;" / "&amp;Anmeldung!$J$34,"")</f>
        <v/>
      </c>
      <c r="AQ21" t="str">
        <f>IF(AND(27&lt;&gt;16,Anmeldung!$D$34&lt;&gt;"",Anmeldung!$G$34=Anmeldung!$G$23,Anmeldung!$J$34=Anmeldung!$J$23,(Anmeldung!$B$34&amp;": "&amp;Anmeldung!$D$34&amp;", "&amp;Anmeldung!$E$34&amp;" / "&amp;Anmeldung!$G$34&amp;" / "&amp;Anmeldung!$J$34)&lt;&gt;Anmeldung!$O$23),Anmeldung!$B$34&amp;": "&amp;Anmeldung!$D$34&amp;", "&amp;Anmeldung!$E$34&amp;" / "&amp;Anmeldung!$G$34&amp;" / "&amp;Anmeldung!$J$34,"")</f>
        <v/>
      </c>
      <c r="AR21" t="str">
        <f>IF(AND(27&lt;&gt;16,Anmeldung!$D$34&lt;&gt;"",Anmeldung!$G$34&lt;&gt;Anmeldung!$G$23,(Anmeldung!$B$34&amp;": "&amp;Anmeldung!$D$34&amp;", "&amp;Anmeldung!$E$34&amp;" / "&amp;Anmeldung!$G$34&amp;" / "&amp;Anmeldung!$J$34)&lt;&gt;Anmeldung!$S$23),Anmeldung!$B$34&amp;": "&amp;Anmeldung!$D$34&amp;", "&amp;Anmeldung!$E$34&amp;" / "&amp;Anmeldung!$G$34&amp;" / "&amp;Anmeldung!$J$34,"")</f>
        <v/>
      </c>
      <c r="AS21" t="str">
        <f>IF(AND(27&lt;&gt;16,Anmeldung!$D$34&lt;&gt;"",(Anmeldung!$B$34&amp;": "&amp;Anmeldung!$D$34&amp;", "&amp;Anmeldung!$E$34&amp;" / "&amp;Anmeldung!$G$34&amp;" / "&amp;Anmeldung!$J$34)&lt;&gt;Anmeldung!$R$23),Anmeldung!$B$34&amp;": "&amp;Anmeldung!$D$34&amp;", "&amp;Anmeldung!$E$34&amp;" / "&amp;Anmeldung!$G$34&amp;" / "&amp;Anmeldung!$J$34,"")</f>
        <v/>
      </c>
      <c r="AT21" t="str">
        <f>IF(AND(26&lt;&gt;15,Anmeldung!$D$34&lt;&gt;"",Anmeldung!$U$34="Ja",Anmeldung!$G$34=Anmeldung!$G$23,Anmeldung!$J$34=Anmeldung!$J$23),Anmeldung!$B$34&amp;": "&amp;Anmeldung!$D$34&amp;", "&amp;Anmeldung!$E$34&amp;" / "&amp;Anmeldung!$G$34&amp;" / "&amp;Anmeldung!$J$34,"")</f>
        <v/>
      </c>
      <c r="AW21" t="str">
        <f>IF(AND(27&lt;&gt;17,Anmeldung!$D$34&lt;&gt;"",Anmeldung!$G$34=Anmeldung!$G$24,Anmeldung!$J$34=Anmeldung!$J$24),Anmeldung!$B$34&amp;": "&amp;Anmeldung!$D$34&amp;", "&amp;Anmeldung!$E$34&amp;" / "&amp;Anmeldung!$G$34&amp;" / "&amp;Anmeldung!$J$34,"")</f>
        <v/>
      </c>
      <c r="AX21" t="str">
        <f>IF(AND(27&lt;&gt;17,Anmeldung!$D$34&lt;&gt;"",Anmeldung!$G$34=Anmeldung!$G$24,Anmeldung!$J$34=Anmeldung!$J$24,(Anmeldung!$B$34&amp;": "&amp;Anmeldung!$D$34&amp;", "&amp;Anmeldung!$E$34&amp;" / "&amp;Anmeldung!$G$34&amp;" / "&amp;Anmeldung!$J$34)&lt;&gt;Anmeldung!$P$24),Anmeldung!$B$34&amp;": "&amp;Anmeldung!$D$34&amp;", "&amp;Anmeldung!$E$34&amp;" / "&amp;Anmeldung!$G$34&amp;" / "&amp;Anmeldung!$J$34,"")</f>
        <v/>
      </c>
      <c r="AY21" t="str">
        <f>IF(AND(27&lt;&gt;17,Anmeldung!$D$34&lt;&gt;"",Anmeldung!$G$34=Anmeldung!$G$24,Anmeldung!$J$34=Anmeldung!$J$24,(Anmeldung!$B$34&amp;": "&amp;Anmeldung!$D$34&amp;", "&amp;Anmeldung!$E$34&amp;" / "&amp;Anmeldung!$G$34&amp;" / "&amp;Anmeldung!$J$34)&lt;&gt;Anmeldung!$O$24),Anmeldung!$B$34&amp;": "&amp;Anmeldung!$D$34&amp;", "&amp;Anmeldung!$E$34&amp;" / "&amp;Anmeldung!$G$34&amp;" / "&amp;Anmeldung!$J$34,"")</f>
        <v/>
      </c>
      <c r="AZ21" t="str">
        <f>IF(AND(27&lt;&gt;17,Anmeldung!$D$34&lt;&gt;"",Anmeldung!$G$34&lt;&gt;Anmeldung!$G$24,(Anmeldung!$B$34&amp;": "&amp;Anmeldung!$D$34&amp;", "&amp;Anmeldung!$E$34&amp;" / "&amp;Anmeldung!$G$34&amp;" / "&amp;Anmeldung!$J$34)&lt;&gt;Anmeldung!$S$24),Anmeldung!$B$34&amp;": "&amp;Anmeldung!$D$34&amp;", "&amp;Anmeldung!$E$34&amp;" / "&amp;Anmeldung!$G$34&amp;" / "&amp;Anmeldung!$J$34,"")</f>
        <v/>
      </c>
      <c r="BA21" t="str">
        <f>IF(AND(27&lt;&gt;17,Anmeldung!$D$34&lt;&gt;"",(Anmeldung!$B$34&amp;": "&amp;Anmeldung!$D$34&amp;", "&amp;Anmeldung!$E$34&amp;" / "&amp;Anmeldung!$G$34&amp;" / "&amp;Anmeldung!$J$34)&lt;&gt;Anmeldung!$R$24),Anmeldung!$B$34&amp;": "&amp;Anmeldung!$D$34&amp;", "&amp;Anmeldung!$E$34&amp;" / "&amp;Anmeldung!$G$34&amp;" / "&amp;Anmeldung!$J$34,"")</f>
        <v/>
      </c>
      <c r="BB21" t="str">
        <f>IF(AND(26&lt;&gt;16,Anmeldung!$D$34&lt;&gt;"",Anmeldung!$U$34="Ja",Anmeldung!$G$34=Anmeldung!$G$24,Anmeldung!$J$34=Anmeldung!$J$24),Anmeldung!$B$34&amp;": "&amp;Anmeldung!$D$34&amp;", "&amp;Anmeldung!$E$34&amp;" / "&amp;Anmeldung!$G$34&amp;" / "&amp;Anmeldung!$J$34,"")</f>
        <v/>
      </c>
      <c r="BE21" t="str">
        <f>IF(AND(27&lt;&gt;18,Anmeldung!$D$34&lt;&gt;"",Anmeldung!$G$34=Anmeldung!$G$25,Anmeldung!$J$34=Anmeldung!$J$25),Anmeldung!$B$34&amp;": "&amp;Anmeldung!$D$34&amp;", "&amp;Anmeldung!$E$34&amp;" / "&amp;Anmeldung!$G$34&amp;" / "&amp;Anmeldung!$J$34,"")</f>
        <v/>
      </c>
      <c r="BF21" t="str">
        <f>IF(AND(27&lt;&gt;18,Anmeldung!$D$34&lt;&gt;"",Anmeldung!$G$34=Anmeldung!$G$25,Anmeldung!$J$34=Anmeldung!$J$25,(Anmeldung!$B$34&amp;": "&amp;Anmeldung!$D$34&amp;", "&amp;Anmeldung!$E$34&amp;" / "&amp;Anmeldung!$G$34&amp;" / "&amp;Anmeldung!$J$34)&lt;&gt;Anmeldung!$P$25),Anmeldung!$B$34&amp;": "&amp;Anmeldung!$D$34&amp;", "&amp;Anmeldung!$E$34&amp;" / "&amp;Anmeldung!$G$34&amp;" / "&amp;Anmeldung!$J$34,"")</f>
        <v/>
      </c>
      <c r="BG21" t="str">
        <f>IF(AND(27&lt;&gt;18,Anmeldung!$D$34&lt;&gt;"",Anmeldung!$G$34=Anmeldung!$G$25,Anmeldung!$J$34=Anmeldung!$J$25,(Anmeldung!$B$34&amp;": "&amp;Anmeldung!$D$34&amp;", "&amp;Anmeldung!$E$34&amp;" / "&amp;Anmeldung!$G$34&amp;" / "&amp;Anmeldung!$J$34)&lt;&gt;Anmeldung!$O$25),Anmeldung!$B$34&amp;": "&amp;Anmeldung!$D$34&amp;", "&amp;Anmeldung!$E$34&amp;" / "&amp;Anmeldung!$G$34&amp;" / "&amp;Anmeldung!$J$34,"")</f>
        <v/>
      </c>
      <c r="BH21" t="str">
        <f>IF(AND(27&lt;&gt;18,Anmeldung!$D$34&lt;&gt;"",Anmeldung!$G$34&lt;&gt;Anmeldung!$G$25,(Anmeldung!$B$34&amp;": "&amp;Anmeldung!$D$34&amp;", "&amp;Anmeldung!$E$34&amp;" / "&amp;Anmeldung!$G$34&amp;" / "&amp;Anmeldung!$J$34)&lt;&gt;Anmeldung!$S$25),Anmeldung!$B$34&amp;": "&amp;Anmeldung!$D$34&amp;", "&amp;Anmeldung!$E$34&amp;" / "&amp;Anmeldung!$G$34&amp;" / "&amp;Anmeldung!$J$34,"")</f>
        <v/>
      </c>
      <c r="BI21" t="str">
        <f>IF(AND(27&lt;&gt;18,Anmeldung!$D$34&lt;&gt;"",(Anmeldung!$B$34&amp;": "&amp;Anmeldung!$D$34&amp;", "&amp;Anmeldung!$E$34&amp;" / "&amp;Anmeldung!$G$34&amp;" / "&amp;Anmeldung!$J$34)&lt;&gt;Anmeldung!$R$25),Anmeldung!$B$34&amp;": "&amp;Anmeldung!$D$34&amp;", "&amp;Anmeldung!$E$34&amp;" / "&amp;Anmeldung!$G$34&amp;" / "&amp;Anmeldung!$J$34,"")</f>
        <v/>
      </c>
      <c r="BJ21" t="str">
        <f>IF(AND(26&lt;&gt;17,Anmeldung!$D$34&lt;&gt;"",Anmeldung!$U$34="Ja",Anmeldung!$G$34=Anmeldung!$G$25,Anmeldung!$J$34=Anmeldung!$J$25),Anmeldung!$B$34&amp;": "&amp;Anmeldung!$D$34&amp;", "&amp;Anmeldung!$E$34&amp;" / "&amp;Anmeldung!$G$34&amp;" / "&amp;Anmeldung!$J$34,"")</f>
        <v/>
      </c>
      <c r="BM21" t="str">
        <f>IF(AND(27&lt;&gt;19,Anmeldung!$D$34&lt;&gt;"",Anmeldung!$G$34=Anmeldung!$G$26,Anmeldung!$J$34=Anmeldung!$J$26),Anmeldung!$B$34&amp;": "&amp;Anmeldung!$D$34&amp;", "&amp;Anmeldung!$E$34&amp;" / "&amp;Anmeldung!$G$34&amp;" / "&amp;Anmeldung!$J$34,"")</f>
        <v/>
      </c>
      <c r="BN21" t="str">
        <f>IF(AND(27&lt;&gt;19,Anmeldung!$D$34&lt;&gt;"",Anmeldung!$G$34=Anmeldung!$G$26,Anmeldung!$J$34=Anmeldung!$J$26,(Anmeldung!$B$34&amp;": "&amp;Anmeldung!$D$34&amp;", "&amp;Anmeldung!$E$34&amp;" / "&amp;Anmeldung!$G$34&amp;" / "&amp;Anmeldung!$J$34)&lt;&gt;Anmeldung!$P$26),Anmeldung!$B$34&amp;": "&amp;Anmeldung!$D$34&amp;", "&amp;Anmeldung!$E$34&amp;" / "&amp;Anmeldung!$G$34&amp;" / "&amp;Anmeldung!$J$34,"")</f>
        <v/>
      </c>
      <c r="BO21" t="str">
        <f>IF(AND(27&lt;&gt;19,Anmeldung!$D$34&lt;&gt;"",Anmeldung!$G$34=Anmeldung!$G$26,Anmeldung!$J$34=Anmeldung!$J$26,(Anmeldung!$B$34&amp;": "&amp;Anmeldung!$D$34&amp;", "&amp;Anmeldung!$E$34&amp;" / "&amp;Anmeldung!$G$34&amp;" / "&amp;Anmeldung!$J$34)&lt;&gt;Anmeldung!$O$26),Anmeldung!$B$34&amp;": "&amp;Anmeldung!$D$34&amp;", "&amp;Anmeldung!$E$34&amp;" / "&amp;Anmeldung!$G$34&amp;" / "&amp;Anmeldung!$J$34,"")</f>
        <v/>
      </c>
      <c r="BP21" t="str">
        <f>IF(AND(27&lt;&gt;19,Anmeldung!$D$34&lt;&gt;"",Anmeldung!$G$34&lt;&gt;Anmeldung!$G$26,(Anmeldung!$B$34&amp;": "&amp;Anmeldung!$D$34&amp;", "&amp;Anmeldung!$E$34&amp;" / "&amp;Anmeldung!$G$34&amp;" / "&amp;Anmeldung!$J$34)&lt;&gt;Anmeldung!$S$26),Anmeldung!$B$34&amp;": "&amp;Anmeldung!$D$34&amp;", "&amp;Anmeldung!$E$34&amp;" / "&amp;Anmeldung!$G$34&amp;" / "&amp;Anmeldung!$J$34,"")</f>
        <v/>
      </c>
      <c r="BQ21" t="str">
        <f>IF(AND(27&lt;&gt;19,Anmeldung!$D$34&lt;&gt;"",(Anmeldung!$B$34&amp;": "&amp;Anmeldung!$D$34&amp;", "&amp;Anmeldung!$E$34&amp;" / "&amp;Anmeldung!$G$34&amp;" / "&amp;Anmeldung!$J$34)&lt;&gt;Anmeldung!$R$26),Anmeldung!$B$34&amp;": "&amp;Anmeldung!$D$34&amp;", "&amp;Anmeldung!$E$34&amp;" / "&amp;Anmeldung!$G$34&amp;" / "&amp;Anmeldung!$J$34,"")</f>
        <v/>
      </c>
      <c r="BR21" t="str">
        <f>IF(AND(26&lt;&gt;18,Anmeldung!$D$34&lt;&gt;"",Anmeldung!$U$34="Ja",Anmeldung!$G$34=Anmeldung!$G$26,Anmeldung!$J$34=Anmeldung!$J$26),Anmeldung!$B$34&amp;": "&amp;Anmeldung!$D$34&amp;", "&amp;Anmeldung!$E$34&amp;" / "&amp;Anmeldung!$G$34&amp;" / "&amp;Anmeldung!$J$34,"")</f>
        <v/>
      </c>
      <c r="BU21" t="str">
        <f>IF(AND(27&lt;&gt;20,Anmeldung!$D$34&lt;&gt;"",Anmeldung!$G$34=Anmeldung!$G$27,Anmeldung!$J$34=Anmeldung!$J$27),Anmeldung!$B$34&amp;": "&amp;Anmeldung!$D$34&amp;", "&amp;Anmeldung!$E$34&amp;" / "&amp;Anmeldung!$G$34&amp;" / "&amp;Anmeldung!$J$34,"")</f>
        <v/>
      </c>
      <c r="BV21" t="str">
        <f>IF(AND(27&lt;&gt;20,Anmeldung!$D$34&lt;&gt;"",Anmeldung!$G$34=Anmeldung!$G$27,Anmeldung!$J$34=Anmeldung!$J$27,(Anmeldung!$B$34&amp;": "&amp;Anmeldung!$D$34&amp;", "&amp;Anmeldung!$E$34&amp;" / "&amp;Anmeldung!$G$34&amp;" / "&amp;Anmeldung!$J$34)&lt;&gt;Anmeldung!$P$27),Anmeldung!$B$34&amp;": "&amp;Anmeldung!$D$34&amp;", "&amp;Anmeldung!$E$34&amp;" / "&amp;Anmeldung!$G$34&amp;" / "&amp;Anmeldung!$J$34,"")</f>
        <v/>
      </c>
      <c r="BW21" t="str">
        <f>IF(AND(27&lt;&gt;20,Anmeldung!$D$34&lt;&gt;"",Anmeldung!$G$34=Anmeldung!$G$27,Anmeldung!$J$34=Anmeldung!$J$27,(Anmeldung!$B$34&amp;": "&amp;Anmeldung!$D$34&amp;", "&amp;Anmeldung!$E$34&amp;" / "&amp;Anmeldung!$G$34&amp;" / "&amp;Anmeldung!$J$34)&lt;&gt;Anmeldung!$O$27),Anmeldung!$B$34&amp;": "&amp;Anmeldung!$D$34&amp;", "&amp;Anmeldung!$E$34&amp;" / "&amp;Anmeldung!$G$34&amp;" / "&amp;Anmeldung!$J$34,"")</f>
        <v/>
      </c>
      <c r="BX21" t="str">
        <f>IF(AND(27&lt;&gt;20,Anmeldung!$D$34&lt;&gt;"",Anmeldung!$G$34&lt;&gt;Anmeldung!$G$27,(Anmeldung!$B$34&amp;": "&amp;Anmeldung!$D$34&amp;", "&amp;Anmeldung!$E$34&amp;" / "&amp;Anmeldung!$G$34&amp;" / "&amp;Anmeldung!$J$34)&lt;&gt;Anmeldung!$S$27),Anmeldung!$B$34&amp;": "&amp;Anmeldung!$D$34&amp;", "&amp;Anmeldung!$E$34&amp;" / "&amp;Anmeldung!$G$34&amp;" / "&amp;Anmeldung!$J$34,"")</f>
        <v/>
      </c>
      <c r="BY21" t="str">
        <f>IF(AND(27&lt;&gt;20,Anmeldung!$D$34&lt;&gt;"",(Anmeldung!$B$34&amp;": "&amp;Anmeldung!$D$34&amp;", "&amp;Anmeldung!$E$34&amp;" / "&amp;Anmeldung!$G$34&amp;" / "&amp;Anmeldung!$J$34)&lt;&gt;Anmeldung!$R$27),Anmeldung!$B$34&amp;": "&amp;Anmeldung!$D$34&amp;", "&amp;Anmeldung!$E$34&amp;" / "&amp;Anmeldung!$G$34&amp;" / "&amp;Anmeldung!$J$34,"")</f>
        <v/>
      </c>
      <c r="BZ21" t="str">
        <f>IF(AND(26&lt;&gt;19,Anmeldung!$D$34&lt;&gt;"",Anmeldung!$U$34="Ja",Anmeldung!$G$34=Anmeldung!$G$27,Anmeldung!$J$34=Anmeldung!$J$27),Anmeldung!$B$34&amp;": "&amp;Anmeldung!$D$34&amp;", "&amp;Anmeldung!$E$34&amp;" / "&amp;Anmeldung!$G$34&amp;" / "&amp;Anmeldung!$J$34,"")</f>
        <v/>
      </c>
      <c r="CC21" t="str">
        <f>IF(AND(27&lt;&gt;21,Anmeldung!$D$34&lt;&gt;"",Anmeldung!$G$34=Anmeldung!$G$28,Anmeldung!$J$34=Anmeldung!$J$28),Anmeldung!$B$34&amp;": "&amp;Anmeldung!$D$34&amp;", "&amp;Anmeldung!$E$34&amp;" / "&amp;Anmeldung!$G$34&amp;" / "&amp;Anmeldung!$J$34,"")</f>
        <v/>
      </c>
      <c r="CD21" t="str">
        <f>IF(AND(27&lt;&gt;21,Anmeldung!$D$34&lt;&gt;"",Anmeldung!$G$34=Anmeldung!$G$28,Anmeldung!$J$34=Anmeldung!$J$28,(Anmeldung!$B$34&amp;": "&amp;Anmeldung!$D$34&amp;", "&amp;Anmeldung!$E$34&amp;" / "&amp;Anmeldung!$G$34&amp;" / "&amp;Anmeldung!$J$34)&lt;&gt;Anmeldung!$P$28),Anmeldung!$B$34&amp;": "&amp;Anmeldung!$D$34&amp;", "&amp;Anmeldung!$E$34&amp;" / "&amp;Anmeldung!$G$34&amp;" / "&amp;Anmeldung!$J$34,"")</f>
        <v/>
      </c>
      <c r="CE21" t="str">
        <f>IF(AND(27&lt;&gt;21,Anmeldung!$D$34&lt;&gt;"",Anmeldung!$G$34=Anmeldung!$G$28,Anmeldung!$J$34=Anmeldung!$J$28,(Anmeldung!$B$34&amp;": "&amp;Anmeldung!$D$34&amp;", "&amp;Anmeldung!$E$34&amp;" / "&amp;Anmeldung!$G$34&amp;" / "&amp;Anmeldung!$J$34)&lt;&gt;Anmeldung!$O$28),Anmeldung!$B$34&amp;": "&amp;Anmeldung!$D$34&amp;", "&amp;Anmeldung!$E$34&amp;" / "&amp;Anmeldung!$G$34&amp;" / "&amp;Anmeldung!$J$34,"")</f>
        <v/>
      </c>
      <c r="CF21" t="str">
        <f>IF(AND(27&lt;&gt;21,Anmeldung!$D$34&lt;&gt;"",Anmeldung!$G$34&lt;&gt;Anmeldung!$G$28,(Anmeldung!$B$34&amp;": "&amp;Anmeldung!$D$34&amp;", "&amp;Anmeldung!$E$34&amp;" / "&amp;Anmeldung!$G$34&amp;" / "&amp;Anmeldung!$J$34)&lt;&gt;Anmeldung!$S$28),Anmeldung!$B$34&amp;": "&amp;Anmeldung!$D$34&amp;", "&amp;Anmeldung!$E$34&amp;" / "&amp;Anmeldung!$G$34&amp;" / "&amp;Anmeldung!$J$34,"")</f>
        <v/>
      </c>
      <c r="CG21" t="str">
        <f>IF(AND(27&lt;&gt;21,Anmeldung!$D$34&lt;&gt;"",(Anmeldung!$B$34&amp;": "&amp;Anmeldung!$D$34&amp;", "&amp;Anmeldung!$E$34&amp;" / "&amp;Anmeldung!$G$34&amp;" / "&amp;Anmeldung!$J$34)&lt;&gt;Anmeldung!$R$28),Anmeldung!$B$34&amp;": "&amp;Anmeldung!$D$34&amp;", "&amp;Anmeldung!$E$34&amp;" / "&amp;Anmeldung!$G$34&amp;" / "&amp;Anmeldung!$J$34,"")</f>
        <v/>
      </c>
      <c r="CH21" t="str">
        <f>IF(AND(26&lt;&gt;20,Anmeldung!$D$34&lt;&gt;"",Anmeldung!$U$34="Ja",Anmeldung!$G$34=Anmeldung!$G$28,Anmeldung!$J$34=Anmeldung!$J$28),Anmeldung!$B$34&amp;": "&amp;Anmeldung!$D$34&amp;", "&amp;Anmeldung!$E$34&amp;" / "&amp;Anmeldung!$G$34&amp;" / "&amp;Anmeldung!$J$34,"")</f>
        <v/>
      </c>
      <c r="CK21" t="str">
        <f>IF(AND(27&lt;&gt;22,Anmeldung!$D$34&lt;&gt;"",Anmeldung!$G$34=Anmeldung!$G$29,Anmeldung!$J$34=Anmeldung!$J$29),Anmeldung!$B$34&amp;": "&amp;Anmeldung!$D$34&amp;", "&amp;Anmeldung!$E$34&amp;" / "&amp;Anmeldung!$G$34&amp;" / "&amp;Anmeldung!$J$34,"")</f>
        <v/>
      </c>
      <c r="CL21" t="str">
        <f>IF(AND(27&lt;&gt;22,Anmeldung!$D$34&lt;&gt;"",Anmeldung!$G$34=Anmeldung!$G$29,Anmeldung!$J$34=Anmeldung!$J$29,(Anmeldung!$B$34&amp;": "&amp;Anmeldung!$D$34&amp;", "&amp;Anmeldung!$E$34&amp;" / "&amp;Anmeldung!$G$34&amp;" / "&amp;Anmeldung!$J$34)&lt;&gt;Anmeldung!$P$29),Anmeldung!$B$34&amp;": "&amp;Anmeldung!$D$34&amp;", "&amp;Anmeldung!$E$34&amp;" / "&amp;Anmeldung!$G$34&amp;" / "&amp;Anmeldung!$J$34,"")</f>
        <v/>
      </c>
      <c r="CM21" t="str">
        <f>IF(AND(27&lt;&gt;22,Anmeldung!$D$34&lt;&gt;"",Anmeldung!$G$34=Anmeldung!$G$29,Anmeldung!$J$34=Anmeldung!$J$29,(Anmeldung!$B$34&amp;": "&amp;Anmeldung!$D$34&amp;", "&amp;Anmeldung!$E$34&amp;" / "&amp;Anmeldung!$G$34&amp;" / "&amp;Anmeldung!$J$34)&lt;&gt;Anmeldung!$O$29),Anmeldung!$B$34&amp;": "&amp;Anmeldung!$D$34&amp;", "&amp;Anmeldung!$E$34&amp;" / "&amp;Anmeldung!$G$34&amp;" / "&amp;Anmeldung!$J$34,"")</f>
        <v/>
      </c>
      <c r="CN21" t="str">
        <f>IF(AND(27&lt;&gt;22,Anmeldung!$D$34&lt;&gt;"",Anmeldung!$G$34&lt;&gt;Anmeldung!$G$29,(Anmeldung!$B$34&amp;": "&amp;Anmeldung!$D$34&amp;", "&amp;Anmeldung!$E$34&amp;" / "&amp;Anmeldung!$G$34&amp;" / "&amp;Anmeldung!$J$34)&lt;&gt;Anmeldung!$S$29),Anmeldung!$B$34&amp;": "&amp;Anmeldung!$D$34&amp;", "&amp;Anmeldung!$E$34&amp;" / "&amp;Anmeldung!$G$34&amp;" / "&amp;Anmeldung!$J$34,"")</f>
        <v/>
      </c>
      <c r="CO21" t="str">
        <f>IF(AND(27&lt;&gt;22,Anmeldung!$D$34&lt;&gt;"",(Anmeldung!$B$34&amp;": "&amp;Anmeldung!$D$34&amp;", "&amp;Anmeldung!$E$34&amp;" / "&amp;Anmeldung!$G$34&amp;" / "&amp;Anmeldung!$J$34)&lt;&gt;Anmeldung!$R$29),Anmeldung!$B$34&amp;": "&amp;Anmeldung!$D$34&amp;", "&amp;Anmeldung!$E$34&amp;" / "&amp;Anmeldung!$G$34&amp;" / "&amp;Anmeldung!$J$34,"")</f>
        <v/>
      </c>
      <c r="CP21" t="str">
        <f>IF(AND(26&lt;&gt;21,Anmeldung!$D$34&lt;&gt;"",Anmeldung!$U$34="Ja",Anmeldung!$G$34=Anmeldung!$G$29,Anmeldung!$J$34=Anmeldung!$J$29),Anmeldung!$B$34&amp;": "&amp;Anmeldung!$D$34&amp;", "&amp;Anmeldung!$E$34&amp;" / "&amp;Anmeldung!$G$34&amp;" / "&amp;Anmeldung!$J$34,"")</f>
        <v/>
      </c>
      <c r="CS21" t="str">
        <f>IF(AND(27&lt;&gt;23,Anmeldung!$D$34&lt;&gt;"",Anmeldung!$G$34=Anmeldung!$G$30,Anmeldung!$J$34=Anmeldung!$J$30),Anmeldung!$B$34&amp;": "&amp;Anmeldung!$D$34&amp;", "&amp;Anmeldung!$E$34&amp;" / "&amp;Anmeldung!$G$34&amp;" / "&amp;Anmeldung!$J$34,"")</f>
        <v/>
      </c>
      <c r="CT21" t="str">
        <f>IF(AND(27&lt;&gt;23,Anmeldung!$D$34&lt;&gt;"",Anmeldung!$G$34=Anmeldung!$G$30,Anmeldung!$J$34=Anmeldung!$J$30,(Anmeldung!$B$34&amp;": "&amp;Anmeldung!$D$34&amp;", "&amp;Anmeldung!$E$34&amp;" / "&amp;Anmeldung!$G$34&amp;" / "&amp;Anmeldung!$J$34)&lt;&gt;Anmeldung!$P$30),Anmeldung!$B$34&amp;": "&amp;Anmeldung!$D$34&amp;", "&amp;Anmeldung!$E$34&amp;" / "&amp;Anmeldung!$G$34&amp;" / "&amp;Anmeldung!$J$34,"")</f>
        <v/>
      </c>
      <c r="CU21" t="str">
        <f>IF(AND(27&lt;&gt;23,Anmeldung!$D$34&lt;&gt;"",Anmeldung!$G$34=Anmeldung!$G$30,Anmeldung!$J$34=Anmeldung!$J$30,(Anmeldung!$B$34&amp;": "&amp;Anmeldung!$D$34&amp;", "&amp;Anmeldung!$E$34&amp;" / "&amp;Anmeldung!$G$34&amp;" / "&amp;Anmeldung!$J$34)&lt;&gt;Anmeldung!$O$30),Anmeldung!$B$34&amp;": "&amp;Anmeldung!$D$34&amp;", "&amp;Anmeldung!$E$34&amp;" / "&amp;Anmeldung!$G$34&amp;" / "&amp;Anmeldung!$J$34,"")</f>
        <v/>
      </c>
      <c r="CV21" t="str">
        <f>IF(AND(27&lt;&gt;23,Anmeldung!$D$34&lt;&gt;"",Anmeldung!$G$34&lt;&gt;Anmeldung!$G$30,(Anmeldung!$B$34&amp;": "&amp;Anmeldung!$D$34&amp;", "&amp;Anmeldung!$E$34&amp;" / "&amp;Anmeldung!$G$34&amp;" / "&amp;Anmeldung!$J$34)&lt;&gt;Anmeldung!$S$30),Anmeldung!$B$34&amp;": "&amp;Anmeldung!$D$34&amp;", "&amp;Anmeldung!$E$34&amp;" / "&amp;Anmeldung!$G$34&amp;" / "&amp;Anmeldung!$J$34,"")</f>
        <v/>
      </c>
      <c r="CW21" t="str">
        <f>IF(AND(27&lt;&gt;23,Anmeldung!$D$34&lt;&gt;"",(Anmeldung!$B$34&amp;": "&amp;Anmeldung!$D$34&amp;", "&amp;Anmeldung!$E$34&amp;" / "&amp;Anmeldung!$G$34&amp;" / "&amp;Anmeldung!$J$34)&lt;&gt;Anmeldung!$R$30),Anmeldung!$B$34&amp;": "&amp;Anmeldung!$D$34&amp;", "&amp;Anmeldung!$E$34&amp;" / "&amp;Anmeldung!$G$34&amp;" / "&amp;Anmeldung!$J$34,"")</f>
        <v/>
      </c>
      <c r="CX21" t="str">
        <f>IF(AND(26&lt;&gt;22,Anmeldung!$D$34&lt;&gt;"",Anmeldung!$U$34="Ja",Anmeldung!$G$34=Anmeldung!$G$30,Anmeldung!$J$34=Anmeldung!$J$30),Anmeldung!$B$34&amp;": "&amp;Anmeldung!$D$34&amp;", "&amp;Anmeldung!$E$34&amp;" / "&amp;Anmeldung!$G$34&amp;" / "&amp;Anmeldung!$J$34,"")</f>
        <v/>
      </c>
      <c r="DA21" t="str">
        <f>IF(AND(27&lt;&gt;24,Anmeldung!$D$34&lt;&gt;"",Anmeldung!$G$34=Anmeldung!$G$31,Anmeldung!$J$34=Anmeldung!$J$31),Anmeldung!$B$34&amp;": "&amp;Anmeldung!$D$34&amp;", "&amp;Anmeldung!$E$34&amp;" / "&amp;Anmeldung!$G$34&amp;" / "&amp;Anmeldung!$J$34,"")</f>
        <v/>
      </c>
      <c r="DB21" t="str">
        <f>IF(AND(27&lt;&gt;24,Anmeldung!$D$34&lt;&gt;"",Anmeldung!$G$34=Anmeldung!$G$31,Anmeldung!$J$34=Anmeldung!$J$31,(Anmeldung!$B$34&amp;": "&amp;Anmeldung!$D$34&amp;", "&amp;Anmeldung!$E$34&amp;" / "&amp;Anmeldung!$G$34&amp;" / "&amp;Anmeldung!$J$34)&lt;&gt;Anmeldung!$P$31),Anmeldung!$B$34&amp;": "&amp;Anmeldung!$D$34&amp;", "&amp;Anmeldung!$E$34&amp;" / "&amp;Anmeldung!$G$34&amp;" / "&amp;Anmeldung!$J$34,"")</f>
        <v/>
      </c>
      <c r="DC21" t="str">
        <f>IF(AND(27&lt;&gt;24,Anmeldung!$D$34&lt;&gt;"",Anmeldung!$G$34=Anmeldung!$G$31,Anmeldung!$J$34=Anmeldung!$J$31,(Anmeldung!$B$34&amp;": "&amp;Anmeldung!$D$34&amp;", "&amp;Anmeldung!$E$34&amp;" / "&amp;Anmeldung!$G$34&amp;" / "&amp;Anmeldung!$J$34)&lt;&gt;Anmeldung!$O$31),Anmeldung!$B$34&amp;": "&amp;Anmeldung!$D$34&amp;", "&amp;Anmeldung!$E$34&amp;" / "&amp;Anmeldung!$G$34&amp;" / "&amp;Anmeldung!$J$34,"")</f>
        <v/>
      </c>
      <c r="DD21" t="str">
        <f>IF(AND(27&lt;&gt;24,Anmeldung!$D$34&lt;&gt;"",Anmeldung!$G$34&lt;&gt;Anmeldung!$G$31,(Anmeldung!$B$34&amp;": "&amp;Anmeldung!$D$34&amp;", "&amp;Anmeldung!$E$34&amp;" / "&amp;Anmeldung!$G$34&amp;" / "&amp;Anmeldung!$J$34)&lt;&gt;Anmeldung!$S$31),Anmeldung!$B$34&amp;": "&amp;Anmeldung!$D$34&amp;", "&amp;Anmeldung!$E$34&amp;" / "&amp;Anmeldung!$G$34&amp;" / "&amp;Anmeldung!$J$34,"")</f>
        <v/>
      </c>
      <c r="DE21" t="str">
        <f>IF(AND(27&lt;&gt;24,Anmeldung!$D$34&lt;&gt;"",(Anmeldung!$B$34&amp;": "&amp;Anmeldung!$D$34&amp;", "&amp;Anmeldung!$E$34&amp;" / "&amp;Anmeldung!$G$34&amp;" / "&amp;Anmeldung!$J$34)&lt;&gt;Anmeldung!$R$31),Anmeldung!$B$34&amp;": "&amp;Anmeldung!$D$34&amp;", "&amp;Anmeldung!$E$34&amp;" / "&amp;Anmeldung!$G$34&amp;" / "&amp;Anmeldung!$J$34,"")</f>
        <v/>
      </c>
      <c r="DF21" t="str">
        <f>IF(AND(26&lt;&gt;23,Anmeldung!$D$34&lt;&gt;"",Anmeldung!$U$34="Ja",Anmeldung!$G$34=Anmeldung!$G$31,Anmeldung!$J$34=Anmeldung!$J$31),Anmeldung!$B$34&amp;": "&amp;Anmeldung!$D$34&amp;", "&amp;Anmeldung!$E$34&amp;" / "&amp;Anmeldung!$G$34&amp;" / "&amp;Anmeldung!$J$34,"")</f>
        <v/>
      </c>
      <c r="DI21" t="str">
        <f>IF(AND(27&lt;&gt;25,Anmeldung!$D$34&lt;&gt;"",Anmeldung!$G$34=Anmeldung!$G$32,Anmeldung!$J$34=Anmeldung!$J$32),Anmeldung!$B$34&amp;": "&amp;Anmeldung!$D$34&amp;", "&amp;Anmeldung!$E$34&amp;" / "&amp;Anmeldung!$G$34&amp;" / "&amp;Anmeldung!$J$34,"")</f>
        <v/>
      </c>
      <c r="DJ21" t="str">
        <f>IF(AND(27&lt;&gt;25,Anmeldung!$D$34&lt;&gt;"",Anmeldung!$G$34=Anmeldung!$G$32,Anmeldung!$J$34=Anmeldung!$J$32,(Anmeldung!$B$34&amp;": "&amp;Anmeldung!$D$34&amp;", "&amp;Anmeldung!$E$34&amp;" / "&amp;Anmeldung!$G$34&amp;" / "&amp;Anmeldung!$J$34)&lt;&gt;Anmeldung!$P$32),Anmeldung!$B$34&amp;": "&amp;Anmeldung!$D$34&amp;", "&amp;Anmeldung!$E$34&amp;" / "&amp;Anmeldung!$G$34&amp;" / "&amp;Anmeldung!$J$34,"")</f>
        <v/>
      </c>
      <c r="DK21" t="str">
        <f>IF(AND(27&lt;&gt;25,Anmeldung!$D$34&lt;&gt;"",Anmeldung!$G$34=Anmeldung!$G$32,Anmeldung!$J$34=Anmeldung!$J$32,(Anmeldung!$B$34&amp;": "&amp;Anmeldung!$D$34&amp;", "&amp;Anmeldung!$E$34&amp;" / "&amp;Anmeldung!$G$34&amp;" / "&amp;Anmeldung!$J$34)&lt;&gt;Anmeldung!$O$32),Anmeldung!$B$34&amp;": "&amp;Anmeldung!$D$34&amp;", "&amp;Anmeldung!$E$34&amp;" / "&amp;Anmeldung!$G$34&amp;" / "&amp;Anmeldung!$J$34,"")</f>
        <v/>
      </c>
      <c r="DL21" t="str">
        <f>IF(AND(27&lt;&gt;25,Anmeldung!$D$34&lt;&gt;"",Anmeldung!$G$34&lt;&gt;Anmeldung!$G$32,(Anmeldung!$B$34&amp;": "&amp;Anmeldung!$D$34&amp;", "&amp;Anmeldung!$E$34&amp;" / "&amp;Anmeldung!$G$34&amp;" / "&amp;Anmeldung!$J$34)&lt;&gt;Anmeldung!$S$32),Anmeldung!$B$34&amp;": "&amp;Anmeldung!$D$34&amp;", "&amp;Anmeldung!$E$34&amp;" / "&amp;Anmeldung!$G$34&amp;" / "&amp;Anmeldung!$J$34,"")</f>
        <v/>
      </c>
      <c r="DM21" t="str">
        <f>IF(AND(27&lt;&gt;25,Anmeldung!$D$34&lt;&gt;"",(Anmeldung!$B$34&amp;": "&amp;Anmeldung!$D$34&amp;", "&amp;Anmeldung!$E$34&amp;" / "&amp;Anmeldung!$G$34&amp;" / "&amp;Anmeldung!$J$34)&lt;&gt;Anmeldung!$R$32),Anmeldung!$B$34&amp;": "&amp;Anmeldung!$D$34&amp;", "&amp;Anmeldung!$E$34&amp;" / "&amp;Anmeldung!$G$34&amp;" / "&amp;Anmeldung!$J$34,"")</f>
        <v/>
      </c>
      <c r="DN21" t="str">
        <f>IF(AND(26&lt;&gt;24,Anmeldung!$D$34&lt;&gt;"",Anmeldung!$U$34="Ja",Anmeldung!$G$34=Anmeldung!$G$32,Anmeldung!$J$34=Anmeldung!$J$32),Anmeldung!$B$34&amp;": "&amp;Anmeldung!$D$34&amp;", "&amp;Anmeldung!$E$34&amp;" / "&amp;Anmeldung!$G$34&amp;" / "&amp;Anmeldung!$J$34,"")</f>
        <v/>
      </c>
      <c r="DQ21" t="str">
        <f>IF(AND(27&lt;&gt;26,Anmeldung!$D$34&lt;&gt;"",Anmeldung!$G$34=Anmeldung!$G$33,Anmeldung!$J$34=Anmeldung!$J$33),Anmeldung!$B$34&amp;": "&amp;Anmeldung!$D$34&amp;", "&amp;Anmeldung!$E$34&amp;" / "&amp;Anmeldung!$G$34&amp;" / "&amp;Anmeldung!$J$34,"")</f>
        <v/>
      </c>
      <c r="DR21" t="str">
        <f>IF(AND(27&lt;&gt;26,Anmeldung!$D$34&lt;&gt;"",Anmeldung!$G$34=Anmeldung!$G$33,Anmeldung!$J$34=Anmeldung!$J$33,(Anmeldung!$B$34&amp;": "&amp;Anmeldung!$D$34&amp;", "&amp;Anmeldung!$E$34&amp;" / "&amp;Anmeldung!$G$34&amp;" / "&amp;Anmeldung!$J$34)&lt;&gt;Anmeldung!$P$33),Anmeldung!$B$34&amp;": "&amp;Anmeldung!$D$34&amp;", "&amp;Anmeldung!$E$34&amp;" / "&amp;Anmeldung!$G$34&amp;" / "&amp;Anmeldung!$J$34,"")</f>
        <v/>
      </c>
      <c r="DS21" t="str">
        <f>IF(AND(27&lt;&gt;26,Anmeldung!$D$34&lt;&gt;"",Anmeldung!$G$34=Anmeldung!$G$33,Anmeldung!$J$34=Anmeldung!$J$33,(Anmeldung!$B$34&amp;": "&amp;Anmeldung!$D$34&amp;", "&amp;Anmeldung!$E$34&amp;" / "&amp;Anmeldung!$G$34&amp;" / "&amp;Anmeldung!$J$34)&lt;&gt;Anmeldung!$O$33),Anmeldung!$B$34&amp;": "&amp;Anmeldung!$D$34&amp;", "&amp;Anmeldung!$E$34&amp;" / "&amp;Anmeldung!$G$34&amp;" / "&amp;Anmeldung!$J$34,"")</f>
        <v/>
      </c>
      <c r="DT21" t="str">
        <f>IF(AND(27&lt;&gt;26,Anmeldung!$D$34&lt;&gt;"",Anmeldung!$G$34&lt;&gt;Anmeldung!$G$33,(Anmeldung!$B$34&amp;": "&amp;Anmeldung!$D$34&amp;", "&amp;Anmeldung!$E$34&amp;" / "&amp;Anmeldung!$G$34&amp;" / "&amp;Anmeldung!$J$34)&lt;&gt;Anmeldung!$S$33),Anmeldung!$B$34&amp;": "&amp;Anmeldung!$D$34&amp;", "&amp;Anmeldung!$E$34&amp;" / "&amp;Anmeldung!$G$34&amp;" / "&amp;Anmeldung!$J$34,"")</f>
        <v/>
      </c>
      <c r="DU21" t="str">
        <f>IF(AND(27&lt;&gt;26,Anmeldung!$D$34&lt;&gt;"",(Anmeldung!$B$34&amp;": "&amp;Anmeldung!$D$34&amp;", "&amp;Anmeldung!$E$34&amp;" / "&amp;Anmeldung!$G$34&amp;" / "&amp;Anmeldung!$J$34)&lt;&gt;Anmeldung!$R$33),Anmeldung!$B$34&amp;": "&amp;Anmeldung!$D$34&amp;", "&amp;Anmeldung!$E$34&amp;" / "&amp;Anmeldung!$G$34&amp;" / "&amp;Anmeldung!$J$34,"")</f>
        <v/>
      </c>
      <c r="DV21" t="str">
        <f>IF(AND(26&lt;&gt;25,Anmeldung!$D$34&lt;&gt;"",Anmeldung!$U$34="Ja",Anmeldung!$G$34=Anmeldung!$G$33,Anmeldung!$J$34=Anmeldung!$J$33),Anmeldung!$B$34&amp;": "&amp;Anmeldung!$D$34&amp;", "&amp;Anmeldung!$E$34&amp;" / "&amp;Anmeldung!$G$34&amp;" / "&amp;Anmeldung!$J$34,"")</f>
        <v/>
      </c>
      <c r="DY21" t="str">
        <f>IF(AND(27&lt;&gt;27,Anmeldung!$D$34&lt;&gt;"",Anmeldung!$G$34=Anmeldung!$G$34,Anmeldung!$J$34=Anmeldung!$J$34),Anmeldung!$B$34&amp;": "&amp;Anmeldung!$D$34&amp;", "&amp;Anmeldung!$E$34&amp;" / "&amp;Anmeldung!$G$34&amp;" / "&amp;Anmeldung!$J$34,"")</f>
        <v/>
      </c>
      <c r="DZ21" t="str">
        <f>IF(AND(27&lt;&gt;27,Anmeldung!$D$34&lt;&gt;"",Anmeldung!$G$34=Anmeldung!$G$34,Anmeldung!$J$34=Anmeldung!$J$34,(Anmeldung!$B$34&amp;": "&amp;Anmeldung!$D$34&amp;", "&amp;Anmeldung!$E$34&amp;" / "&amp;Anmeldung!$G$34&amp;" / "&amp;Anmeldung!$J$34)&lt;&gt;Anmeldung!$P$34),Anmeldung!$B$34&amp;": "&amp;Anmeldung!$D$34&amp;", "&amp;Anmeldung!$E$34&amp;" / "&amp;Anmeldung!$G$34&amp;" / "&amp;Anmeldung!$J$34,"")</f>
        <v/>
      </c>
      <c r="EA21" t="str">
        <f>IF(AND(27&lt;&gt;27,Anmeldung!$D$34&lt;&gt;"",Anmeldung!$G$34=Anmeldung!$G$34,Anmeldung!$J$34=Anmeldung!$J$34,(Anmeldung!$B$34&amp;": "&amp;Anmeldung!$D$34&amp;", "&amp;Anmeldung!$E$34&amp;" / "&amp;Anmeldung!$G$34&amp;" / "&amp;Anmeldung!$J$34)&lt;&gt;Anmeldung!$O$34),Anmeldung!$B$34&amp;": "&amp;Anmeldung!$D$34&amp;", "&amp;Anmeldung!$E$34&amp;" / "&amp;Anmeldung!$G$34&amp;" / "&amp;Anmeldung!$J$34,"")</f>
        <v/>
      </c>
      <c r="EB21" t="str">
        <f>IF(AND(27&lt;&gt;27,Anmeldung!$D$34&lt;&gt;"",Anmeldung!$G$34&lt;&gt;Anmeldung!$G$34,(Anmeldung!$B$34&amp;": "&amp;Anmeldung!$D$34&amp;", "&amp;Anmeldung!$E$34&amp;" / "&amp;Anmeldung!$G$34&amp;" / "&amp;Anmeldung!$J$34)&lt;&gt;Anmeldung!$S$34),Anmeldung!$B$34&amp;": "&amp;Anmeldung!$D$34&amp;", "&amp;Anmeldung!$E$34&amp;" / "&amp;Anmeldung!$G$34&amp;" / "&amp;Anmeldung!$J$34,"")</f>
        <v/>
      </c>
      <c r="EC21" t="str">
        <f>IF(AND(27&lt;&gt;27,Anmeldung!$D$34&lt;&gt;"",(Anmeldung!$B$34&amp;": "&amp;Anmeldung!$D$34&amp;", "&amp;Anmeldung!$E$34&amp;" / "&amp;Anmeldung!$G$34&amp;" / "&amp;Anmeldung!$J$34)&lt;&gt;Anmeldung!$R$34),Anmeldung!$B$34&amp;": "&amp;Anmeldung!$D$34&amp;", "&amp;Anmeldung!$E$34&amp;" / "&amp;Anmeldung!$G$34&amp;" / "&amp;Anmeldung!$J$34,"")</f>
        <v/>
      </c>
      <c r="ED21" t="str">
        <f>IF(AND(26&lt;&gt;26,Anmeldung!$D$34&lt;&gt;"",Anmeldung!$U$34="Ja",Anmeldung!$G$34=Anmeldung!$G$34,Anmeldung!$J$34=Anmeldung!$J$34),Anmeldung!$B$34&amp;": "&amp;Anmeldung!$D$34&amp;", "&amp;Anmeldung!$E$34&amp;" / "&amp;Anmeldung!$G$34&amp;" / "&amp;Anmeldung!$J$34,"")</f>
        <v/>
      </c>
      <c r="EG21" t="str">
        <f>IF(AND(27&lt;&gt;28,Anmeldung!$D$34&lt;&gt;"",Anmeldung!$G$34=Anmeldung!$G$35,Anmeldung!$J$34=Anmeldung!$J$35),Anmeldung!$B$34&amp;": "&amp;Anmeldung!$D$34&amp;", "&amp;Anmeldung!$E$34&amp;" / "&amp;Anmeldung!$G$34&amp;" / "&amp;Anmeldung!$J$34,"")</f>
        <v/>
      </c>
      <c r="EH21" t="str">
        <f>IF(AND(27&lt;&gt;28,Anmeldung!$D$34&lt;&gt;"",Anmeldung!$G$34=Anmeldung!$G$35,Anmeldung!$J$34=Anmeldung!$J$35,(Anmeldung!$B$34&amp;": "&amp;Anmeldung!$D$34&amp;", "&amp;Anmeldung!$E$34&amp;" / "&amp;Anmeldung!$G$34&amp;" / "&amp;Anmeldung!$J$34)&lt;&gt;Anmeldung!$P$35),Anmeldung!$B$34&amp;": "&amp;Anmeldung!$D$34&amp;", "&amp;Anmeldung!$E$34&amp;" / "&amp;Anmeldung!$G$34&amp;" / "&amp;Anmeldung!$J$34,"")</f>
        <v/>
      </c>
      <c r="EI21" t="str">
        <f>IF(AND(27&lt;&gt;28,Anmeldung!$D$34&lt;&gt;"",Anmeldung!$G$34=Anmeldung!$G$35,Anmeldung!$J$34=Anmeldung!$J$35,(Anmeldung!$B$34&amp;": "&amp;Anmeldung!$D$34&amp;", "&amp;Anmeldung!$E$34&amp;" / "&amp;Anmeldung!$G$34&amp;" / "&amp;Anmeldung!$J$34)&lt;&gt;Anmeldung!$O$35),Anmeldung!$B$34&amp;": "&amp;Anmeldung!$D$34&amp;", "&amp;Anmeldung!$E$34&amp;" / "&amp;Anmeldung!$G$34&amp;" / "&amp;Anmeldung!$J$34,"")</f>
        <v/>
      </c>
      <c r="EJ21" t="str">
        <f>IF(AND(27&lt;&gt;28,Anmeldung!$D$34&lt;&gt;"",Anmeldung!$G$34&lt;&gt;Anmeldung!$G$35,(Anmeldung!$B$34&amp;": "&amp;Anmeldung!$D$34&amp;", "&amp;Anmeldung!$E$34&amp;" / "&amp;Anmeldung!$G$34&amp;" / "&amp;Anmeldung!$J$34)&lt;&gt;Anmeldung!$S$35),Anmeldung!$B$34&amp;": "&amp;Anmeldung!$D$34&amp;", "&amp;Anmeldung!$E$34&amp;" / "&amp;Anmeldung!$G$34&amp;" / "&amp;Anmeldung!$J$34,"")</f>
        <v/>
      </c>
      <c r="EK21" t="str">
        <f>IF(AND(27&lt;&gt;28,Anmeldung!$D$34&lt;&gt;"",(Anmeldung!$B$34&amp;": "&amp;Anmeldung!$D$34&amp;", "&amp;Anmeldung!$E$34&amp;" / "&amp;Anmeldung!$G$34&amp;" / "&amp;Anmeldung!$J$34)&lt;&gt;Anmeldung!$R$35),Anmeldung!$B$34&amp;": "&amp;Anmeldung!$D$34&amp;", "&amp;Anmeldung!$E$34&amp;" / "&amp;Anmeldung!$G$34&amp;" / "&amp;Anmeldung!$J$34,"")</f>
        <v/>
      </c>
      <c r="EL21" t="str">
        <f>IF(AND(26&lt;&gt;27,Anmeldung!$D$34&lt;&gt;"",Anmeldung!$U$34="Ja",Anmeldung!$G$34=Anmeldung!$G$35,Anmeldung!$J$34=Anmeldung!$J$35),Anmeldung!$B$34&amp;": "&amp;Anmeldung!$D$34&amp;", "&amp;Anmeldung!$E$34&amp;" / "&amp;Anmeldung!$G$34&amp;" / "&amp;Anmeldung!$J$34,"")</f>
        <v/>
      </c>
      <c r="EO21" t="str">
        <f>IF(AND(27&lt;&gt;29,Anmeldung!$D$34&lt;&gt;"",Anmeldung!$G$34=Anmeldung!$G$36,Anmeldung!$J$34=Anmeldung!$J$36),Anmeldung!$B$34&amp;": "&amp;Anmeldung!$D$34&amp;", "&amp;Anmeldung!$E$34&amp;" / "&amp;Anmeldung!$G$34&amp;" / "&amp;Anmeldung!$J$34,"")</f>
        <v/>
      </c>
      <c r="EP21" t="str">
        <f>IF(AND(27&lt;&gt;29,Anmeldung!$D$34&lt;&gt;"",Anmeldung!$G$34=Anmeldung!$G$36,Anmeldung!$J$34=Anmeldung!$J$36,(Anmeldung!$B$34&amp;": "&amp;Anmeldung!$D$34&amp;", "&amp;Anmeldung!$E$34&amp;" / "&amp;Anmeldung!$G$34&amp;" / "&amp;Anmeldung!$J$34)&lt;&gt;Anmeldung!$P$36),Anmeldung!$B$34&amp;": "&amp;Anmeldung!$D$34&amp;", "&amp;Anmeldung!$E$34&amp;" / "&amp;Anmeldung!$G$34&amp;" / "&amp;Anmeldung!$J$34,"")</f>
        <v/>
      </c>
      <c r="EQ21" t="str">
        <f>IF(AND(27&lt;&gt;29,Anmeldung!$D$34&lt;&gt;"",Anmeldung!$G$34=Anmeldung!$G$36,Anmeldung!$J$34=Anmeldung!$J$36,(Anmeldung!$B$34&amp;": "&amp;Anmeldung!$D$34&amp;", "&amp;Anmeldung!$E$34&amp;" / "&amp;Anmeldung!$G$34&amp;" / "&amp;Anmeldung!$J$34)&lt;&gt;Anmeldung!$O$36),Anmeldung!$B$34&amp;": "&amp;Anmeldung!$D$34&amp;", "&amp;Anmeldung!$E$34&amp;" / "&amp;Anmeldung!$G$34&amp;" / "&amp;Anmeldung!$J$34,"")</f>
        <v/>
      </c>
      <c r="ER21" t="str">
        <f>IF(AND(27&lt;&gt;29,Anmeldung!$D$34&lt;&gt;"",Anmeldung!$G$34&lt;&gt;Anmeldung!$G$36,(Anmeldung!$B$34&amp;": "&amp;Anmeldung!$D$34&amp;", "&amp;Anmeldung!$E$34&amp;" / "&amp;Anmeldung!$G$34&amp;" / "&amp;Anmeldung!$J$34)&lt;&gt;Anmeldung!$S$36),Anmeldung!$B$34&amp;": "&amp;Anmeldung!$D$34&amp;", "&amp;Anmeldung!$E$34&amp;" / "&amp;Anmeldung!$G$34&amp;" / "&amp;Anmeldung!$J$34,"")</f>
        <v/>
      </c>
      <c r="ES21" t="str">
        <f>IF(AND(27&lt;&gt;29,Anmeldung!$D$34&lt;&gt;"",(Anmeldung!$B$34&amp;": "&amp;Anmeldung!$D$34&amp;", "&amp;Anmeldung!$E$34&amp;" / "&amp;Anmeldung!$G$34&amp;" / "&amp;Anmeldung!$J$34)&lt;&gt;Anmeldung!$R$36),Anmeldung!$B$34&amp;": "&amp;Anmeldung!$D$34&amp;", "&amp;Anmeldung!$E$34&amp;" / "&amp;Anmeldung!$G$34&amp;" / "&amp;Anmeldung!$J$34,"")</f>
        <v/>
      </c>
      <c r="ET21" t="str">
        <f>IF(AND(26&lt;&gt;28,Anmeldung!$D$34&lt;&gt;"",Anmeldung!$U$34="Ja",Anmeldung!$G$34=Anmeldung!$G$36,Anmeldung!$J$34=Anmeldung!$J$36),Anmeldung!$B$34&amp;": "&amp;Anmeldung!$D$34&amp;", "&amp;Anmeldung!$E$34&amp;" / "&amp;Anmeldung!$G$34&amp;" / "&amp;Anmeldung!$J$34,"")</f>
        <v/>
      </c>
      <c r="EW21" t="str">
        <f>IF(AND(27&lt;&gt;30,Anmeldung!$D$34&lt;&gt;"",Anmeldung!$G$34=Anmeldung!$G$37,Anmeldung!$J$34=Anmeldung!$J$37),Anmeldung!$B$34&amp;": "&amp;Anmeldung!$D$34&amp;", "&amp;Anmeldung!$E$34&amp;" / "&amp;Anmeldung!$G$34&amp;" / "&amp;Anmeldung!$J$34,"")</f>
        <v/>
      </c>
      <c r="EX21" t="str">
        <f>IF(AND(27&lt;&gt;30,Anmeldung!$D$34&lt;&gt;"",Anmeldung!$G$34=Anmeldung!$G$37,Anmeldung!$J$34=Anmeldung!$J$37,(Anmeldung!$B$34&amp;": "&amp;Anmeldung!$D$34&amp;", "&amp;Anmeldung!$E$34&amp;" / "&amp;Anmeldung!$G$34&amp;" / "&amp;Anmeldung!$J$34)&lt;&gt;Anmeldung!$P$37),Anmeldung!$B$34&amp;": "&amp;Anmeldung!$D$34&amp;", "&amp;Anmeldung!$E$34&amp;" / "&amp;Anmeldung!$G$34&amp;" / "&amp;Anmeldung!$J$34,"")</f>
        <v/>
      </c>
      <c r="EY21" t="str">
        <f>IF(AND(27&lt;&gt;30,Anmeldung!$D$34&lt;&gt;"",Anmeldung!$G$34=Anmeldung!$G$37,Anmeldung!$J$34=Anmeldung!$J$37,(Anmeldung!$B$34&amp;": "&amp;Anmeldung!$D$34&amp;", "&amp;Anmeldung!$E$34&amp;" / "&amp;Anmeldung!$G$34&amp;" / "&amp;Anmeldung!$J$34)&lt;&gt;Anmeldung!$O$37),Anmeldung!$B$34&amp;": "&amp;Anmeldung!$D$34&amp;", "&amp;Anmeldung!$E$34&amp;" / "&amp;Anmeldung!$G$34&amp;" / "&amp;Anmeldung!$J$34,"")</f>
        <v/>
      </c>
      <c r="EZ21" t="str">
        <f>IF(AND(27&lt;&gt;30,Anmeldung!$D$34&lt;&gt;"",Anmeldung!$G$34&lt;&gt;Anmeldung!$G$37,(Anmeldung!$B$34&amp;": "&amp;Anmeldung!$D$34&amp;", "&amp;Anmeldung!$E$34&amp;" / "&amp;Anmeldung!$G$34&amp;" / "&amp;Anmeldung!$J$34)&lt;&gt;Anmeldung!$S$37),Anmeldung!$B$34&amp;": "&amp;Anmeldung!$D$34&amp;", "&amp;Anmeldung!$E$34&amp;" / "&amp;Anmeldung!$G$34&amp;" / "&amp;Anmeldung!$J$34,"")</f>
        <v/>
      </c>
      <c r="FA21" t="str">
        <f>IF(AND(27&lt;&gt;30,Anmeldung!$D$34&lt;&gt;"",(Anmeldung!$B$34&amp;": "&amp;Anmeldung!$D$34&amp;", "&amp;Anmeldung!$E$34&amp;" / "&amp;Anmeldung!$G$34&amp;" / "&amp;Anmeldung!$J$34)&lt;&gt;Anmeldung!$R$37),Anmeldung!$B$34&amp;": "&amp;Anmeldung!$D$34&amp;", "&amp;Anmeldung!$E$34&amp;" / "&amp;Anmeldung!$G$34&amp;" / "&amp;Anmeldung!$J$34,"")</f>
        <v/>
      </c>
      <c r="FB21" t="str">
        <f>IF(AND(26&lt;&gt;29,Anmeldung!$D$34&lt;&gt;"",Anmeldung!$U$34="Ja",Anmeldung!$G$34=Anmeldung!$G$37,Anmeldung!$J$34=Anmeldung!$J$37),Anmeldung!$B$34&amp;": "&amp;Anmeldung!$D$34&amp;", "&amp;Anmeldung!$E$34&amp;" / "&amp;Anmeldung!$G$34&amp;" / "&amp;Anmeldung!$J$34,"")</f>
        <v/>
      </c>
      <c r="FE21" t="str">
        <f>IF(AND(27&lt;&gt;31,Anmeldung!$D$34&lt;&gt;"",Anmeldung!$G$34=Anmeldung!$G$38,Anmeldung!$J$34=Anmeldung!$J$38),Anmeldung!$B$34&amp;": "&amp;Anmeldung!$D$34&amp;", "&amp;Anmeldung!$E$34&amp;" / "&amp;Anmeldung!$G$34&amp;" / "&amp;Anmeldung!$J$34,"")</f>
        <v/>
      </c>
      <c r="FF21" t="str">
        <f>IF(AND(27&lt;&gt;31,Anmeldung!$D$34&lt;&gt;"",Anmeldung!$G$34=Anmeldung!$G$38,Anmeldung!$J$34=Anmeldung!$J$38,(Anmeldung!$B$34&amp;": "&amp;Anmeldung!$D$34&amp;", "&amp;Anmeldung!$E$34&amp;" / "&amp;Anmeldung!$G$34&amp;" / "&amp;Anmeldung!$J$34)&lt;&gt;Anmeldung!$P$38),Anmeldung!$B$34&amp;": "&amp;Anmeldung!$D$34&amp;", "&amp;Anmeldung!$E$34&amp;" / "&amp;Anmeldung!$G$34&amp;" / "&amp;Anmeldung!$J$34,"")</f>
        <v/>
      </c>
      <c r="FG21" t="str">
        <f>IF(AND(27&lt;&gt;31,Anmeldung!$D$34&lt;&gt;"",Anmeldung!$G$34=Anmeldung!$G$38,Anmeldung!$J$34=Anmeldung!$J$38,(Anmeldung!$B$34&amp;": "&amp;Anmeldung!$D$34&amp;", "&amp;Anmeldung!$E$34&amp;" / "&amp;Anmeldung!$G$34&amp;" / "&amp;Anmeldung!$J$34)&lt;&gt;Anmeldung!$O$38),Anmeldung!$B$34&amp;": "&amp;Anmeldung!$D$34&amp;", "&amp;Anmeldung!$E$34&amp;" / "&amp;Anmeldung!$G$34&amp;" / "&amp;Anmeldung!$J$34,"")</f>
        <v/>
      </c>
      <c r="FH21" t="str">
        <f>IF(AND(27&lt;&gt;31,Anmeldung!$D$34&lt;&gt;"",Anmeldung!$G$34&lt;&gt;Anmeldung!$G$38,(Anmeldung!$B$34&amp;": "&amp;Anmeldung!$D$34&amp;", "&amp;Anmeldung!$E$34&amp;" / "&amp;Anmeldung!$G$34&amp;" / "&amp;Anmeldung!$J$34)&lt;&gt;Anmeldung!$S$38),Anmeldung!$B$34&amp;": "&amp;Anmeldung!$D$34&amp;", "&amp;Anmeldung!$E$34&amp;" / "&amp;Anmeldung!$G$34&amp;" / "&amp;Anmeldung!$J$34,"")</f>
        <v/>
      </c>
      <c r="FI21" t="str">
        <f>IF(AND(27&lt;&gt;31,Anmeldung!$D$34&lt;&gt;"",(Anmeldung!$B$34&amp;": "&amp;Anmeldung!$D$34&amp;", "&amp;Anmeldung!$E$34&amp;" / "&amp;Anmeldung!$G$34&amp;" / "&amp;Anmeldung!$J$34)&lt;&gt;Anmeldung!$R$38),Anmeldung!$B$34&amp;": "&amp;Anmeldung!$D$34&amp;", "&amp;Anmeldung!$E$34&amp;" / "&amp;Anmeldung!$G$34&amp;" / "&amp;Anmeldung!$J$34,"")</f>
        <v/>
      </c>
      <c r="FJ21" t="str">
        <f>IF(AND(26&lt;&gt;30,Anmeldung!$D$34&lt;&gt;"",Anmeldung!$U$34="Ja",Anmeldung!$G$34=Anmeldung!$G$38,Anmeldung!$J$34=Anmeldung!$J$38),Anmeldung!$B$34&amp;": "&amp;Anmeldung!$D$34&amp;", "&amp;Anmeldung!$E$34&amp;" / "&amp;Anmeldung!$G$34&amp;" / "&amp;Anmeldung!$J$34,"")</f>
        <v/>
      </c>
      <c r="FM21" t="str">
        <f>IF(AND(27&lt;&gt;32,Anmeldung!$D$34&lt;&gt;"",Anmeldung!$G$34=Anmeldung!$G$39,Anmeldung!$J$34=Anmeldung!$J$39),Anmeldung!$B$34&amp;": "&amp;Anmeldung!$D$34&amp;", "&amp;Anmeldung!$E$34&amp;" / "&amp;Anmeldung!$G$34&amp;" / "&amp;Anmeldung!$J$34,"")</f>
        <v/>
      </c>
      <c r="FN21" t="str">
        <f>IF(AND(27&lt;&gt;32,Anmeldung!$D$34&lt;&gt;"",Anmeldung!$G$34=Anmeldung!$G$39,Anmeldung!$J$34=Anmeldung!$J$39,(Anmeldung!$B$34&amp;": "&amp;Anmeldung!$D$34&amp;", "&amp;Anmeldung!$E$34&amp;" / "&amp;Anmeldung!$G$34&amp;" / "&amp;Anmeldung!$J$34)&lt;&gt;Anmeldung!$P$39),Anmeldung!$B$34&amp;": "&amp;Anmeldung!$D$34&amp;", "&amp;Anmeldung!$E$34&amp;" / "&amp;Anmeldung!$G$34&amp;" / "&amp;Anmeldung!$J$34,"")</f>
        <v/>
      </c>
      <c r="FO21" t="str">
        <f>IF(AND(27&lt;&gt;32,Anmeldung!$D$34&lt;&gt;"",Anmeldung!$G$34=Anmeldung!$G$39,Anmeldung!$J$34=Anmeldung!$J$39,(Anmeldung!$B$34&amp;": "&amp;Anmeldung!$D$34&amp;", "&amp;Anmeldung!$E$34&amp;" / "&amp;Anmeldung!$G$34&amp;" / "&amp;Anmeldung!$J$34)&lt;&gt;Anmeldung!$O$39),Anmeldung!$B$34&amp;": "&amp;Anmeldung!$D$34&amp;", "&amp;Anmeldung!$E$34&amp;" / "&amp;Anmeldung!$G$34&amp;" / "&amp;Anmeldung!$J$34,"")</f>
        <v/>
      </c>
      <c r="FP21" t="str">
        <f>IF(AND(27&lt;&gt;32,Anmeldung!$D$34&lt;&gt;"",Anmeldung!$G$34&lt;&gt;Anmeldung!$G$39,(Anmeldung!$B$34&amp;": "&amp;Anmeldung!$D$34&amp;", "&amp;Anmeldung!$E$34&amp;" / "&amp;Anmeldung!$G$34&amp;" / "&amp;Anmeldung!$J$34)&lt;&gt;Anmeldung!$S$39),Anmeldung!$B$34&amp;": "&amp;Anmeldung!$D$34&amp;", "&amp;Anmeldung!$E$34&amp;" / "&amp;Anmeldung!$G$34&amp;" / "&amp;Anmeldung!$J$34,"")</f>
        <v/>
      </c>
      <c r="FQ21" t="str">
        <f>IF(AND(27&lt;&gt;32,Anmeldung!$D$34&lt;&gt;"",(Anmeldung!$B$34&amp;": "&amp;Anmeldung!$D$34&amp;", "&amp;Anmeldung!$E$34&amp;" / "&amp;Anmeldung!$G$34&amp;" / "&amp;Anmeldung!$J$34)&lt;&gt;Anmeldung!$R$39),Anmeldung!$B$34&amp;": "&amp;Anmeldung!$D$34&amp;", "&amp;Anmeldung!$E$34&amp;" / "&amp;Anmeldung!$G$34&amp;" / "&amp;Anmeldung!$J$34,"")</f>
        <v/>
      </c>
      <c r="FR21" t="str">
        <f>IF(AND(26&lt;&gt;31,Anmeldung!$D$34&lt;&gt;"",Anmeldung!$U$34="Ja",Anmeldung!$G$34=Anmeldung!$G$39,Anmeldung!$J$34=Anmeldung!$J$39),Anmeldung!$B$34&amp;": "&amp;Anmeldung!$D$34&amp;", "&amp;Anmeldung!$E$34&amp;" / "&amp;Anmeldung!$G$34&amp;" / "&amp;Anmeldung!$J$34,"")</f>
        <v/>
      </c>
      <c r="FU21" t="str">
        <f>IF(AND(27&lt;&gt;33,Anmeldung!$D$34&lt;&gt;"",Anmeldung!$G$34=Anmeldung!$G$40,Anmeldung!$J$34=Anmeldung!$J$40),Anmeldung!$B$34&amp;": "&amp;Anmeldung!$D$34&amp;", "&amp;Anmeldung!$E$34&amp;" / "&amp;Anmeldung!$G$34&amp;" / "&amp;Anmeldung!$J$34,"")</f>
        <v/>
      </c>
      <c r="FV21" t="str">
        <f>IF(AND(27&lt;&gt;33,Anmeldung!$D$34&lt;&gt;"",Anmeldung!$G$34=Anmeldung!$G$40,Anmeldung!$J$34=Anmeldung!$J$40,(Anmeldung!$B$34&amp;": "&amp;Anmeldung!$D$34&amp;", "&amp;Anmeldung!$E$34&amp;" / "&amp;Anmeldung!$G$34&amp;" / "&amp;Anmeldung!$J$34)&lt;&gt;Anmeldung!$P$40),Anmeldung!$B$34&amp;": "&amp;Anmeldung!$D$34&amp;", "&amp;Anmeldung!$E$34&amp;" / "&amp;Anmeldung!$G$34&amp;" / "&amp;Anmeldung!$J$34,"")</f>
        <v/>
      </c>
      <c r="FW21" t="str">
        <f>IF(AND(27&lt;&gt;33,Anmeldung!$D$34&lt;&gt;"",Anmeldung!$G$34=Anmeldung!$G$40,Anmeldung!$J$34=Anmeldung!$J$40,(Anmeldung!$B$34&amp;": "&amp;Anmeldung!$D$34&amp;", "&amp;Anmeldung!$E$34&amp;" / "&amp;Anmeldung!$G$34&amp;" / "&amp;Anmeldung!$J$34)&lt;&gt;Anmeldung!$O$40),Anmeldung!$B$34&amp;": "&amp;Anmeldung!$D$34&amp;", "&amp;Anmeldung!$E$34&amp;" / "&amp;Anmeldung!$G$34&amp;" / "&amp;Anmeldung!$J$34,"")</f>
        <v/>
      </c>
      <c r="FX21" t="str">
        <f>IF(AND(27&lt;&gt;33,Anmeldung!$D$34&lt;&gt;"",Anmeldung!$G$34&lt;&gt;Anmeldung!$G$40,(Anmeldung!$B$34&amp;": "&amp;Anmeldung!$D$34&amp;", "&amp;Anmeldung!$E$34&amp;" / "&amp;Anmeldung!$G$34&amp;" / "&amp;Anmeldung!$J$34)&lt;&gt;Anmeldung!$S$40),Anmeldung!$B$34&amp;": "&amp;Anmeldung!$D$34&amp;", "&amp;Anmeldung!$E$34&amp;" / "&amp;Anmeldung!$G$34&amp;" / "&amp;Anmeldung!$J$34,"")</f>
        <v/>
      </c>
      <c r="FY21" t="str">
        <f>IF(AND(27&lt;&gt;33,Anmeldung!$D$34&lt;&gt;"",(Anmeldung!$B$34&amp;": "&amp;Anmeldung!$D$34&amp;", "&amp;Anmeldung!$E$34&amp;" / "&amp;Anmeldung!$G$34&amp;" / "&amp;Anmeldung!$J$34)&lt;&gt;Anmeldung!$R$40),Anmeldung!$B$34&amp;": "&amp;Anmeldung!$D$34&amp;", "&amp;Anmeldung!$E$34&amp;" / "&amp;Anmeldung!$G$34&amp;" / "&amp;Anmeldung!$J$34,"")</f>
        <v/>
      </c>
      <c r="FZ21" t="str">
        <f>IF(AND(26&lt;&gt;32,Anmeldung!$D$34&lt;&gt;"",Anmeldung!$U$34="Ja",Anmeldung!$G$34=Anmeldung!$G$40,Anmeldung!$J$34=Anmeldung!$J$40),Anmeldung!$B$34&amp;": "&amp;Anmeldung!$D$34&amp;", "&amp;Anmeldung!$E$34&amp;" / "&amp;Anmeldung!$G$34&amp;" / "&amp;Anmeldung!$J$34,"")</f>
        <v/>
      </c>
      <c r="GC21" t="str">
        <f>IF(AND(27&lt;&gt;34,Anmeldung!$D$34&lt;&gt;"",Anmeldung!$G$34=Anmeldung!$G$41,Anmeldung!$J$34=Anmeldung!$J$41),Anmeldung!$B$34&amp;": "&amp;Anmeldung!$D$34&amp;", "&amp;Anmeldung!$E$34&amp;" / "&amp;Anmeldung!$G$34&amp;" / "&amp;Anmeldung!$J$34,"")</f>
        <v/>
      </c>
      <c r="GD21" t="str">
        <f>IF(AND(27&lt;&gt;34,Anmeldung!$D$34&lt;&gt;"",Anmeldung!$G$34=Anmeldung!$G$41,Anmeldung!$J$34=Anmeldung!$J$41,(Anmeldung!$B$34&amp;": "&amp;Anmeldung!$D$34&amp;", "&amp;Anmeldung!$E$34&amp;" / "&amp;Anmeldung!$G$34&amp;" / "&amp;Anmeldung!$J$34)&lt;&gt;Anmeldung!$P$41),Anmeldung!$B$34&amp;": "&amp;Anmeldung!$D$34&amp;", "&amp;Anmeldung!$E$34&amp;" / "&amp;Anmeldung!$G$34&amp;" / "&amp;Anmeldung!$J$34,"")</f>
        <v/>
      </c>
      <c r="GE21" t="str">
        <f>IF(AND(27&lt;&gt;34,Anmeldung!$D$34&lt;&gt;"",Anmeldung!$G$34=Anmeldung!$G$41,Anmeldung!$J$34=Anmeldung!$J$41,(Anmeldung!$B$34&amp;": "&amp;Anmeldung!$D$34&amp;", "&amp;Anmeldung!$E$34&amp;" / "&amp;Anmeldung!$G$34&amp;" / "&amp;Anmeldung!$J$34)&lt;&gt;Anmeldung!$O$41),Anmeldung!$B$34&amp;": "&amp;Anmeldung!$D$34&amp;", "&amp;Anmeldung!$E$34&amp;" / "&amp;Anmeldung!$G$34&amp;" / "&amp;Anmeldung!$J$34,"")</f>
        <v/>
      </c>
      <c r="GF21" t="str">
        <f>IF(AND(27&lt;&gt;34,Anmeldung!$D$34&lt;&gt;"",Anmeldung!$G$34&lt;&gt;Anmeldung!$G$41,(Anmeldung!$B$34&amp;": "&amp;Anmeldung!$D$34&amp;", "&amp;Anmeldung!$E$34&amp;" / "&amp;Anmeldung!$G$34&amp;" / "&amp;Anmeldung!$J$34)&lt;&gt;Anmeldung!$S$41),Anmeldung!$B$34&amp;": "&amp;Anmeldung!$D$34&amp;", "&amp;Anmeldung!$E$34&amp;" / "&amp;Anmeldung!$G$34&amp;" / "&amp;Anmeldung!$J$34,"")</f>
        <v/>
      </c>
      <c r="GG21" t="str">
        <f>IF(AND(27&lt;&gt;34,Anmeldung!$D$34&lt;&gt;"",(Anmeldung!$B$34&amp;": "&amp;Anmeldung!$D$34&amp;", "&amp;Anmeldung!$E$34&amp;" / "&amp;Anmeldung!$G$34&amp;" / "&amp;Anmeldung!$J$34)&lt;&gt;Anmeldung!$R$41),Anmeldung!$B$34&amp;": "&amp;Anmeldung!$D$34&amp;", "&amp;Anmeldung!$E$34&amp;" / "&amp;Anmeldung!$G$34&amp;" / "&amp;Anmeldung!$J$34,"")</f>
        <v/>
      </c>
      <c r="GH21" t="str">
        <f>IF(AND(26&lt;&gt;33,Anmeldung!$D$34&lt;&gt;"",Anmeldung!$U$34="Ja",Anmeldung!$G$34=Anmeldung!$G$41,Anmeldung!$J$34=Anmeldung!$J$41),Anmeldung!$B$34&amp;": "&amp;Anmeldung!$D$34&amp;", "&amp;Anmeldung!$E$34&amp;" / "&amp;Anmeldung!$G$34&amp;" / "&amp;Anmeldung!$J$34,"")</f>
        <v/>
      </c>
      <c r="GK21" t="str">
        <f>IF(AND(27&lt;&gt;35,Anmeldung!$D$34&lt;&gt;"",Anmeldung!$G$34=Anmeldung!$G$42,Anmeldung!$J$34=Anmeldung!$J$42),Anmeldung!$B$34&amp;": "&amp;Anmeldung!$D$34&amp;", "&amp;Anmeldung!$E$34&amp;" / "&amp;Anmeldung!$G$34&amp;" / "&amp;Anmeldung!$J$34,"")</f>
        <v/>
      </c>
      <c r="GL21" t="str">
        <f>IF(AND(27&lt;&gt;35,Anmeldung!$D$34&lt;&gt;"",Anmeldung!$G$34=Anmeldung!$G$42,Anmeldung!$J$34=Anmeldung!$J$42,(Anmeldung!$B$34&amp;": "&amp;Anmeldung!$D$34&amp;", "&amp;Anmeldung!$E$34&amp;" / "&amp;Anmeldung!$G$34&amp;" / "&amp;Anmeldung!$J$34)&lt;&gt;Anmeldung!$P$42),Anmeldung!$B$34&amp;": "&amp;Anmeldung!$D$34&amp;", "&amp;Anmeldung!$E$34&amp;" / "&amp;Anmeldung!$G$34&amp;" / "&amp;Anmeldung!$J$34,"")</f>
        <v/>
      </c>
      <c r="GM21" t="str">
        <f>IF(AND(27&lt;&gt;35,Anmeldung!$D$34&lt;&gt;"",Anmeldung!$G$34=Anmeldung!$G$42,Anmeldung!$J$34=Anmeldung!$J$42,(Anmeldung!$B$34&amp;": "&amp;Anmeldung!$D$34&amp;", "&amp;Anmeldung!$E$34&amp;" / "&amp;Anmeldung!$G$34&amp;" / "&amp;Anmeldung!$J$34)&lt;&gt;Anmeldung!$O$42),Anmeldung!$B$34&amp;": "&amp;Anmeldung!$D$34&amp;", "&amp;Anmeldung!$E$34&amp;" / "&amp;Anmeldung!$G$34&amp;" / "&amp;Anmeldung!$J$34,"")</f>
        <v/>
      </c>
      <c r="GN21" t="str">
        <f>IF(AND(27&lt;&gt;35,Anmeldung!$D$34&lt;&gt;"",Anmeldung!$G$34&lt;&gt;Anmeldung!$G$42,(Anmeldung!$B$34&amp;": "&amp;Anmeldung!$D$34&amp;", "&amp;Anmeldung!$E$34&amp;" / "&amp;Anmeldung!$G$34&amp;" / "&amp;Anmeldung!$J$34)&lt;&gt;Anmeldung!$S$42),Anmeldung!$B$34&amp;": "&amp;Anmeldung!$D$34&amp;", "&amp;Anmeldung!$E$34&amp;" / "&amp;Anmeldung!$G$34&amp;" / "&amp;Anmeldung!$J$34,"")</f>
        <v/>
      </c>
      <c r="GO21" t="str">
        <f>IF(AND(27&lt;&gt;35,Anmeldung!$D$34&lt;&gt;"",(Anmeldung!$B$34&amp;": "&amp;Anmeldung!$D$34&amp;", "&amp;Anmeldung!$E$34&amp;" / "&amp;Anmeldung!$G$34&amp;" / "&amp;Anmeldung!$J$34)&lt;&gt;Anmeldung!$R$42),Anmeldung!$B$34&amp;": "&amp;Anmeldung!$D$34&amp;", "&amp;Anmeldung!$E$34&amp;" / "&amp;Anmeldung!$G$34&amp;" / "&amp;Anmeldung!$J$34,"")</f>
        <v/>
      </c>
      <c r="GP21" t="str">
        <f>IF(AND(26&lt;&gt;34,Anmeldung!$D$34&lt;&gt;"",Anmeldung!$U$34="Ja",Anmeldung!$G$34=Anmeldung!$G$42,Anmeldung!$J$34=Anmeldung!$J$42),Anmeldung!$B$34&amp;": "&amp;Anmeldung!$D$34&amp;", "&amp;Anmeldung!$E$34&amp;" / "&amp;Anmeldung!$G$34&amp;" / "&amp;Anmeldung!$J$34,"")</f>
        <v/>
      </c>
      <c r="GS21" t="str">
        <f>IF(AND(27&lt;&gt;36,Anmeldung!$D$34&lt;&gt;"",Anmeldung!$G$34=Anmeldung!$G$43,Anmeldung!$J$34=Anmeldung!$J$43),Anmeldung!$B$34&amp;": "&amp;Anmeldung!$D$34&amp;", "&amp;Anmeldung!$E$34&amp;" / "&amp;Anmeldung!$G$34&amp;" / "&amp;Anmeldung!$J$34,"")</f>
        <v/>
      </c>
      <c r="GT21" t="str">
        <f>IF(AND(27&lt;&gt;36,Anmeldung!$D$34&lt;&gt;"",Anmeldung!$G$34=Anmeldung!$G$43,Anmeldung!$J$34=Anmeldung!$J$43,(Anmeldung!$B$34&amp;": "&amp;Anmeldung!$D$34&amp;", "&amp;Anmeldung!$E$34&amp;" / "&amp;Anmeldung!$G$34&amp;" / "&amp;Anmeldung!$J$34)&lt;&gt;Anmeldung!$P$43),Anmeldung!$B$34&amp;": "&amp;Anmeldung!$D$34&amp;", "&amp;Anmeldung!$E$34&amp;" / "&amp;Anmeldung!$G$34&amp;" / "&amp;Anmeldung!$J$34,"")</f>
        <v/>
      </c>
      <c r="GU21" t="str">
        <f>IF(AND(27&lt;&gt;36,Anmeldung!$D$34&lt;&gt;"",Anmeldung!$G$34=Anmeldung!$G$43,Anmeldung!$J$34=Anmeldung!$J$43,(Anmeldung!$B$34&amp;": "&amp;Anmeldung!$D$34&amp;", "&amp;Anmeldung!$E$34&amp;" / "&amp;Anmeldung!$G$34&amp;" / "&amp;Anmeldung!$J$34)&lt;&gt;Anmeldung!$O$43),Anmeldung!$B$34&amp;": "&amp;Anmeldung!$D$34&amp;", "&amp;Anmeldung!$E$34&amp;" / "&amp;Anmeldung!$G$34&amp;" / "&amp;Anmeldung!$J$34,"")</f>
        <v/>
      </c>
      <c r="GV21" t="str">
        <f>IF(AND(27&lt;&gt;36,Anmeldung!$D$34&lt;&gt;"",Anmeldung!$G$34&lt;&gt;Anmeldung!$G$43,(Anmeldung!$B$34&amp;": "&amp;Anmeldung!$D$34&amp;", "&amp;Anmeldung!$E$34&amp;" / "&amp;Anmeldung!$G$34&amp;" / "&amp;Anmeldung!$J$34)&lt;&gt;Anmeldung!$S$43),Anmeldung!$B$34&amp;": "&amp;Anmeldung!$D$34&amp;", "&amp;Anmeldung!$E$34&amp;" / "&amp;Anmeldung!$G$34&amp;" / "&amp;Anmeldung!$J$34,"")</f>
        <v/>
      </c>
      <c r="GW21" t="str">
        <f>IF(AND(27&lt;&gt;36,Anmeldung!$D$34&lt;&gt;"",(Anmeldung!$B$34&amp;": "&amp;Anmeldung!$D$34&amp;", "&amp;Anmeldung!$E$34&amp;" / "&amp;Anmeldung!$G$34&amp;" / "&amp;Anmeldung!$J$34)&lt;&gt;Anmeldung!$R$43),Anmeldung!$B$34&amp;": "&amp;Anmeldung!$D$34&amp;", "&amp;Anmeldung!$E$34&amp;" / "&amp;Anmeldung!$G$34&amp;" / "&amp;Anmeldung!$J$34,"")</f>
        <v/>
      </c>
      <c r="GX21" t="str">
        <f>IF(AND(26&lt;&gt;35,Anmeldung!$D$34&lt;&gt;"",Anmeldung!$U$34="Ja",Anmeldung!$G$34=Anmeldung!$G$43,Anmeldung!$J$34=Anmeldung!$J$43),Anmeldung!$B$34&amp;": "&amp;Anmeldung!$D$34&amp;", "&amp;Anmeldung!$E$34&amp;" / "&amp;Anmeldung!$G$34&amp;" / "&amp;Anmeldung!$J$34,"")</f>
        <v/>
      </c>
      <c r="HA21" t="str">
        <f>IF(AND(27&lt;&gt;37,Anmeldung!$D$34&lt;&gt;"",Anmeldung!$G$34=Anmeldung!$G$44,Anmeldung!$J$34=Anmeldung!$J$44),Anmeldung!$B$34&amp;": "&amp;Anmeldung!$D$34&amp;", "&amp;Anmeldung!$E$34&amp;" / "&amp;Anmeldung!$G$34&amp;" / "&amp;Anmeldung!$J$34,"")</f>
        <v/>
      </c>
      <c r="HB21" t="str">
        <f>IF(AND(27&lt;&gt;37,Anmeldung!$D$34&lt;&gt;"",Anmeldung!$G$34=Anmeldung!$G$44,Anmeldung!$J$34=Anmeldung!$J$44,(Anmeldung!$B$34&amp;": "&amp;Anmeldung!$D$34&amp;", "&amp;Anmeldung!$E$34&amp;" / "&amp;Anmeldung!$G$34&amp;" / "&amp;Anmeldung!$J$34)&lt;&gt;Anmeldung!$P$44),Anmeldung!$B$34&amp;": "&amp;Anmeldung!$D$34&amp;", "&amp;Anmeldung!$E$34&amp;" / "&amp;Anmeldung!$G$34&amp;" / "&amp;Anmeldung!$J$34,"")</f>
        <v/>
      </c>
      <c r="HC21" t="str">
        <f>IF(AND(27&lt;&gt;37,Anmeldung!$D$34&lt;&gt;"",Anmeldung!$G$34=Anmeldung!$G$44,Anmeldung!$J$34=Anmeldung!$J$44,(Anmeldung!$B$34&amp;": "&amp;Anmeldung!$D$34&amp;", "&amp;Anmeldung!$E$34&amp;" / "&amp;Anmeldung!$G$34&amp;" / "&amp;Anmeldung!$J$34)&lt;&gt;Anmeldung!$O$44),Anmeldung!$B$34&amp;": "&amp;Anmeldung!$D$34&amp;", "&amp;Anmeldung!$E$34&amp;" / "&amp;Anmeldung!$G$34&amp;" / "&amp;Anmeldung!$J$34,"")</f>
        <v/>
      </c>
      <c r="HD21" t="str">
        <f>IF(AND(27&lt;&gt;37,Anmeldung!$D$34&lt;&gt;"",Anmeldung!$G$34&lt;&gt;Anmeldung!$G$44,(Anmeldung!$B$34&amp;": "&amp;Anmeldung!$D$34&amp;", "&amp;Anmeldung!$E$34&amp;" / "&amp;Anmeldung!$G$34&amp;" / "&amp;Anmeldung!$J$34)&lt;&gt;Anmeldung!$S$44),Anmeldung!$B$34&amp;": "&amp;Anmeldung!$D$34&amp;", "&amp;Anmeldung!$E$34&amp;" / "&amp;Anmeldung!$G$34&amp;" / "&amp;Anmeldung!$J$34,"")</f>
        <v/>
      </c>
      <c r="HE21" t="str">
        <f>IF(AND(27&lt;&gt;37,Anmeldung!$D$34&lt;&gt;"",(Anmeldung!$B$34&amp;": "&amp;Anmeldung!$D$34&amp;", "&amp;Anmeldung!$E$34&amp;" / "&amp;Anmeldung!$G$34&amp;" / "&amp;Anmeldung!$J$34)&lt;&gt;Anmeldung!$R$44),Anmeldung!$B$34&amp;": "&amp;Anmeldung!$D$34&amp;", "&amp;Anmeldung!$E$34&amp;" / "&amp;Anmeldung!$G$34&amp;" / "&amp;Anmeldung!$J$34,"")</f>
        <v/>
      </c>
      <c r="HF21" t="str">
        <f>IF(AND(26&lt;&gt;36,Anmeldung!$D$34&lt;&gt;"",Anmeldung!$U$34="Ja",Anmeldung!$G$34=Anmeldung!$G$44,Anmeldung!$J$34=Anmeldung!$J$44),Anmeldung!$B$34&amp;": "&amp;Anmeldung!$D$34&amp;", "&amp;Anmeldung!$E$34&amp;" / "&amp;Anmeldung!$G$34&amp;" / "&amp;Anmeldung!$J$34,"")</f>
        <v/>
      </c>
      <c r="HI21" t="str">
        <f>IF(AND(27&lt;&gt;38,Anmeldung!$D$34&lt;&gt;"",Anmeldung!$G$34=Anmeldung!$G$45,Anmeldung!$J$34=Anmeldung!$J$45),Anmeldung!$B$34&amp;": "&amp;Anmeldung!$D$34&amp;", "&amp;Anmeldung!$E$34&amp;" / "&amp;Anmeldung!$G$34&amp;" / "&amp;Anmeldung!$J$34,"")</f>
        <v/>
      </c>
      <c r="HJ21" t="str">
        <f>IF(AND(27&lt;&gt;38,Anmeldung!$D$34&lt;&gt;"",Anmeldung!$G$34=Anmeldung!$G$45,Anmeldung!$J$34=Anmeldung!$J$45,(Anmeldung!$B$34&amp;": "&amp;Anmeldung!$D$34&amp;", "&amp;Anmeldung!$E$34&amp;" / "&amp;Anmeldung!$G$34&amp;" / "&amp;Anmeldung!$J$34)&lt;&gt;Anmeldung!$P$45),Anmeldung!$B$34&amp;": "&amp;Anmeldung!$D$34&amp;", "&amp;Anmeldung!$E$34&amp;" / "&amp;Anmeldung!$G$34&amp;" / "&amp;Anmeldung!$J$34,"")</f>
        <v/>
      </c>
      <c r="HK21" t="str">
        <f>IF(AND(27&lt;&gt;38,Anmeldung!$D$34&lt;&gt;"",Anmeldung!$G$34=Anmeldung!$G$45,Anmeldung!$J$34=Anmeldung!$J$45,(Anmeldung!$B$34&amp;": "&amp;Anmeldung!$D$34&amp;", "&amp;Anmeldung!$E$34&amp;" / "&amp;Anmeldung!$G$34&amp;" / "&amp;Anmeldung!$J$34)&lt;&gt;Anmeldung!$O$45),Anmeldung!$B$34&amp;": "&amp;Anmeldung!$D$34&amp;", "&amp;Anmeldung!$E$34&amp;" / "&amp;Anmeldung!$G$34&amp;" / "&amp;Anmeldung!$J$34,"")</f>
        <v/>
      </c>
      <c r="HL21" t="str">
        <f>IF(AND(27&lt;&gt;38,Anmeldung!$D$34&lt;&gt;"",Anmeldung!$G$34&lt;&gt;Anmeldung!$G$45,(Anmeldung!$B$34&amp;": "&amp;Anmeldung!$D$34&amp;", "&amp;Anmeldung!$E$34&amp;" / "&amp;Anmeldung!$G$34&amp;" / "&amp;Anmeldung!$J$34)&lt;&gt;Anmeldung!$S$45),Anmeldung!$B$34&amp;": "&amp;Anmeldung!$D$34&amp;", "&amp;Anmeldung!$E$34&amp;" / "&amp;Anmeldung!$G$34&amp;" / "&amp;Anmeldung!$J$34,"")</f>
        <v/>
      </c>
      <c r="HM21" t="str">
        <f>IF(AND(27&lt;&gt;38,Anmeldung!$D$34&lt;&gt;"",(Anmeldung!$B$34&amp;": "&amp;Anmeldung!$D$34&amp;", "&amp;Anmeldung!$E$34&amp;" / "&amp;Anmeldung!$G$34&amp;" / "&amp;Anmeldung!$J$34)&lt;&gt;Anmeldung!$R$45),Anmeldung!$B$34&amp;": "&amp;Anmeldung!$D$34&amp;", "&amp;Anmeldung!$E$34&amp;" / "&amp;Anmeldung!$G$34&amp;" / "&amp;Anmeldung!$J$34,"")</f>
        <v/>
      </c>
      <c r="HN21" t="str">
        <f>IF(AND(26&lt;&gt;37,Anmeldung!$D$34&lt;&gt;"",Anmeldung!$U$34="Ja",Anmeldung!$G$34=Anmeldung!$G$45,Anmeldung!$J$34=Anmeldung!$J$45),Anmeldung!$B$34&amp;": "&amp;Anmeldung!$D$34&amp;", "&amp;Anmeldung!$E$34&amp;" / "&amp;Anmeldung!$G$34&amp;" / "&amp;Anmeldung!$J$34,"")</f>
        <v/>
      </c>
      <c r="HQ21" t="str">
        <f>IF(AND(27&lt;&gt;39,Anmeldung!$D$34&lt;&gt;"",Anmeldung!$G$34=Anmeldung!$G$46,Anmeldung!$J$34=Anmeldung!$J$46),Anmeldung!$B$34&amp;": "&amp;Anmeldung!$D$34&amp;", "&amp;Anmeldung!$E$34&amp;" / "&amp;Anmeldung!$G$34&amp;" / "&amp;Anmeldung!$J$34,"")</f>
        <v/>
      </c>
      <c r="HR21" t="str">
        <f>IF(AND(27&lt;&gt;39,Anmeldung!$D$34&lt;&gt;"",Anmeldung!$G$34=Anmeldung!$G$46,Anmeldung!$J$34=Anmeldung!$J$46,(Anmeldung!$B$34&amp;": "&amp;Anmeldung!$D$34&amp;", "&amp;Anmeldung!$E$34&amp;" / "&amp;Anmeldung!$G$34&amp;" / "&amp;Anmeldung!$J$34)&lt;&gt;Anmeldung!$P$46),Anmeldung!$B$34&amp;": "&amp;Anmeldung!$D$34&amp;", "&amp;Anmeldung!$E$34&amp;" / "&amp;Anmeldung!$G$34&amp;" / "&amp;Anmeldung!$J$34,"")</f>
        <v/>
      </c>
      <c r="HS21" t="str">
        <f>IF(AND(27&lt;&gt;39,Anmeldung!$D$34&lt;&gt;"",Anmeldung!$G$34=Anmeldung!$G$46,Anmeldung!$J$34=Anmeldung!$J$46,(Anmeldung!$B$34&amp;": "&amp;Anmeldung!$D$34&amp;", "&amp;Anmeldung!$E$34&amp;" / "&amp;Anmeldung!$G$34&amp;" / "&amp;Anmeldung!$J$34)&lt;&gt;Anmeldung!$O$46),Anmeldung!$B$34&amp;": "&amp;Anmeldung!$D$34&amp;", "&amp;Anmeldung!$E$34&amp;" / "&amp;Anmeldung!$G$34&amp;" / "&amp;Anmeldung!$J$34,"")</f>
        <v/>
      </c>
      <c r="HT21" t="str">
        <f>IF(AND(27&lt;&gt;39,Anmeldung!$D$34&lt;&gt;"",Anmeldung!$G$34&lt;&gt;Anmeldung!$G$46,(Anmeldung!$B$34&amp;": "&amp;Anmeldung!$D$34&amp;", "&amp;Anmeldung!$E$34&amp;" / "&amp;Anmeldung!$G$34&amp;" / "&amp;Anmeldung!$J$34)&lt;&gt;Anmeldung!$S$46),Anmeldung!$B$34&amp;": "&amp;Anmeldung!$D$34&amp;", "&amp;Anmeldung!$E$34&amp;" / "&amp;Anmeldung!$G$34&amp;" / "&amp;Anmeldung!$J$34,"")</f>
        <v/>
      </c>
      <c r="HU21" t="str">
        <f>IF(AND(27&lt;&gt;39,Anmeldung!$D$34&lt;&gt;"",(Anmeldung!$B$34&amp;": "&amp;Anmeldung!$D$34&amp;", "&amp;Anmeldung!$E$34&amp;" / "&amp;Anmeldung!$G$34&amp;" / "&amp;Anmeldung!$J$34)&lt;&gt;Anmeldung!$R$46),Anmeldung!$B$34&amp;": "&amp;Anmeldung!$D$34&amp;", "&amp;Anmeldung!$E$34&amp;" / "&amp;Anmeldung!$G$34&amp;" / "&amp;Anmeldung!$J$34,"")</f>
        <v/>
      </c>
      <c r="HV21" t="str">
        <f>IF(AND(26&lt;&gt;38,Anmeldung!$D$34&lt;&gt;"",Anmeldung!$U$34="Ja",Anmeldung!$G$34=Anmeldung!$G$46,Anmeldung!$J$34=Anmeldung!$J$46),Anmeldung!$B$34&amp;": "&amp;Anmeldung!$D$34&amp;", "&amp;Anmeldung!$E$34&amp;" / "&amp;Anmeldung!$G$34&amp;" / "&amp;Anmeldung!$J$34,"")</f>
        <v/>
      </c>
      <c r="HY21" t="str">
        <f>IF(AND(27&lt;&gt;40,Anmeldung!$D$34&lt;&gt;"",Anmeldung!$G$34=Anmeldung!$G$47,Anmeldung!$J$34=Anmeldung!$J$47),Anmeldung!$B$34&amp;": "&amp;Anmeldung!$D$34&amp;", "&amp;Anmeldung!$E$34&amp;" / "&amp;Anmeldung!$G$34&amp;" / "&amp;Anmeldung!$J$34,"")</f>
        <v/>
      </c>
      <c r="HZ21" t="str">
        <f>IF(AND(27&lt;&gt;40,Anmeldung!$D$34&lt;&gt;"",Anmeldung!$G$34=Anmeldung!$G$47,Anmeldung!$J$34=Anmeldung!$J$47,(Anmeldung!$B$34&amp;": "&amp;Anmeldung!$D$34&amp;", "&amp;Anmeldung!$E$34&amp;" / "&amp;Anmeldung!$G$34&amp;" / "&amp;Anmeldung!$J$34)&lt;&gt;Anmeldung!$P$47),Anmeldung!$B$34&amp;": "&amp;Anmeldung!$D$34&amp;", "&amp;Anmeldung!$E$34&amp;" / "&amp;Anmeldung!$G$34&amp;" / "&amp;Anmeldung!$J$34,"")</f>
        <v/>
      </c>
      <c r="IA21" t="str">
        <f>IF(AND(27&lt;&gt;40,Anmeldung!$D$34&lt;&gt;"",Anmeldung!$G$34=Anmeldung!$G$47,Anmeldung!$J$34=Anmeldung!$J$47,(Anmeldung!$B$34&amp;": "&amp;Anmeldung!$D$34&amp;", "&amp;Anmeldung!$E$34&amp;" / "&amp;Anmeldung!$G$34&amp;" / "&amp;Anmeldung!$J$34)&lt;&gt;Anmeldung!$O$47),Anmeldung!$B$34&amp;": "&amp;Anmeldung!$D$34&amp;", "&amp;Anmeldung!$E$34&amp;" / "&amp;Anmeldung!$G$34&amp;" / "&amp;Anmeldung!$J$34,"")</f>
        <v/>
      </c>
      <c r="IB21" t="str">
        <f>IF(AND(27&lt;&gt;40,Anmeldung!$D$34&lt;&gt;"",Anmeldung!$G$34&lt;&gt;Anmeldung!$G$47,(Anmeldung!$B$34&amp;": "&amp;Anmeldung!$D$34&amp;", "&amp;Anmeldung!$E$34&amp;" / "&amp;Anmeldung!$G$34&amp;" / "&amp;Anmeldung!$J$34)&lt;&gt;Anmeldung!$S$47),Anmeldung!$B$34&amp;": "&amp;Anmeldung!$D$34&amp;", "&amp;Anmeldung!$E$34&amp;" / "&amp;Anmeldung!$G$34&amp;" / "&amp;Anmeldung!$J$34,"")</f>
        <v/>
      </c>
      <c r="IC21" t="str">
        <f>IF(AND(27&lt;&gt;40,Anmeldung!$D$34&lt;&gt;"",(Anmeldung!$B$34&amp;": "&amp;Anmeldung!$D$34&amp;", "&amp;Anmeldung!$E$34&amp;" / "&amp;Anmeldung!$G$34&amp;" / "&amp;Anmeldung!$J$34)&lt;&gt;Anmeldung!$R$47),Anmeldung!$B$34&amp;": "&amp;Anmeldung!$D$34&amp;", "&amp;Anmeldung!$E$34&amp;" / "&amp;Anmeldung!$G$34&amp;" / "&amp;Anmeldung!$J$34,"")</f>
        <v/>
      </c>
      <c r="ID21" t="str">
        <f>IF(AND(26&lt;&gt;39,Anmeldung!$D$34&lt;&gt;"",Anmeldung!$U$34="Ja",Anmeldung!$G$34=Anmeldung!$G$47,Anmeldung!$J$34=Anmeldung!$J$47),Anmeldung!$B$34&amp;": "&amp;Anmeldung!$D$34&amp;", "&amp;Anmeldung!$E$34&amp;" / "&amp;Anmeldung!$G$34&amp;" / "&amp;Anmeldung!$J$34,"")</f>
        <v/>
      </c>
    </row>
    <row r="22" spans="1:238" ht="14.25" customHeight="1" x14ac:dyDescent="0.3">
      <c r="A22" t="str">
        <f>IF(AND(28&lt;&gt;11,Anmeldung!$D$35&lt;&gt;"",Anmeldung!$G$35=Anmeldung!$G$18,Anmeldung!$J$35=Anmeldung!$J$18),Anmeldung!$B$35&amp;": "&amp;Anmeldung!$D$35&amp;", "&amp;Anmeldung!$E$35&amp;" / "&amp;Anmeldung!$G$35&amp;" / "&amp;Anmeldung!$J$35,"")</f>
        <v/>
      </c>
      <c r="B22" t="str">
        <f>IF(AND(28&lt;&gt;11,Anmeldung!$D$35&lt;&gt;"",Anmeldung!$G$35=Anmeldung!$G$18,Anmeldung!$J$35=Anmeldung!$J$18,(Anmeldung!$B$35&amp;": "&amp;Anmeldung!$D$35&amp;", "&amp;Anmeldung!$E$35&amp;" / "&amp;Anmeldung!$G$35&amp;" / "&amp;Anmeldung!$J$35)&lt;&gt;Anmeldung!$P$18),Anmeldung!$B$35&amp;": "&amp;Anmeldung!$D$35&amp;", "&amp;Anmeldung!$E$35&amp;" / "&amp;Anmeldung!$G$35&amp;" / "&amp;Anmeldung!$J$35,"")</f>
        <v/>
      </c>
      <c r="C22" t="str">
        <f>IF(AND(28&lt;&gt;11,Anmeldung!$D$35&lt;&gt;"",Anmeldung!$G$35=Anmeldung!$G$18,Anmeldung!$J$35=Anmeldung!$J$18,(Anmeldung!$B$35&amp;": "&amp;Anmeldung!$D$35&amp;", "&amp;Anmeldung!$E$35&amp;" / "&amp;Anmeldung!$G$35&amp;" / "&amp;Anmeldung!$J$35)&lt;&gt;Anmeldung!$O$18),Anmeldung!$B$35&amp;": "&amp;Anmeldung!$D$35&amp;", "&amp;Anmeldung!$E$35&amp;" / "&amp;Anmeldung!$G$35&amp;" / "&amp;Anmeldung!$J$35,"")</f>
        <v/>
      </c>
      <c r="D22" t="str">
        <f>IF(AND(28&lt;&gt;11,Anmeldung!$D$35&lt;&gt;"",Anmeldung!$G$35&lt;&gt;Anmeldung!$G$18,(Anmeldung!$B$35&amp;": "&amp;Anmeldung!$D$35&amp;", "&amp;Anmeldung!$E$35&amp;" / "&amp;Anmeldung!$G$35&amp;" / "&amp;Anmeldung!$J$35)&lt;&gt;Anmeldung!$S$18),Anmeldung!$B$35&amp;": "&amp;Anmeldung!$D$35&amp;", "&amp;Anmeldung!$E$35&amp;" / "&amp;Anmeldung!$G$35&amp;" / "&amp;Anmeldung!$J$35,"")</f>
        <v/>
      </c>
      <c r="E22" t="str">
        <f>IF(AND(28&lt;&gt;11,Anmeldung!$D$35&lt;&gt;"",(Anmeldung!$B$35&amp;": "&amp;Anmeldung!$D$35&amp;", "&amp;Anmeldung!$E$35&amp;" / "&amp;Anmeldung!$G$35&amp;" / "&amp;Anmeldung!$J$35)&lt;&gt;Anmeldung!$R$18),Anmeldung!$B$35&amp;": "&amp;Anmeldung!$D$35&amp;", "&amp;Anmeldung!$E$35&amp;" / "&amp;Anmeldung!$G$35&amp;" / "&amp;Anmeldung!$J$35,"")</f>
        <v/>
      </c>
      <c r="F22" t="str">
        <f>IF(AND(27&lt;&gt;10,Anmeldung!$D$35&lt;&gt;"",Anmeldung!$U$35="Ja",Anmeldung!$G$35=Anmeldung!$G$18,Anmeldung!$J$35=Anmeldung!$J$18),Anmeldung!$B$35&amp;": "&amp;Anmeldung!$D$35&amp;", "&amp;Anmeldung!$E$35&amp;" / "&amp;Anmeldung!$G$35&amp;" / "&amp;Anmeldung!$J$35,"")</f>
        <v/>
      </c>
      <c r="I22" t="str">
        <f>IF(AND(28&lt;&gt;12,Anmeldung!$D$35&lt;&gt;"",Anmeldung!$G$35=Anmeldung!$G$19,Anmeldung!$J$35=Anmeldung!$J$19),Anmeldung!$B$35&amp;": "&amp;Anmeldung!$D$35&amp;", "&amp;Anmeldung!$E$35&amp;" / "&amp;Anmeldung!$G$35&amp;" / "&amp;Anmeldung!$J$35,"")</f>
        <v/>
      </c>
      <c r="J22" t="str">
        <f>IF(AND(28&lt;&gt;12,Anmeldung!$D$35&lt;&gt;"",Anmeldung!$G$35=Anmeldung!$G$19,Anmeldung!$J$35=Anmeldung!$J$19,(Anmeldung!$B$35&amp;": "&amp;Anmeldung!$D$35&amp;", "&amp;Anmeldung!$E$35&amp;" / "&amp;Anmeldung!$G$35&amp;" / "&amp;Anmeldung!$J$35)&lt;&gt;Anmeldung!$P$19),Anmeldung!$B$35&amp;": "&amp;Anmeldung!$D$35&amp;", "&amp;Anmeldung!$E$35&amp;" / "&amp;Anmeldung!$G$35&amp;" / "&amp;Anmeldung!$J$35,"")</f>
        <v/>
      </c>
      <c r="K22" t="str">
        <f>IF(AND(28&lt;&gt;12,Anmeldung!$D$35&lt;&gt;"",Anmeldung!$G$35=Anmeldung!$G$19,Anmeldung!$J$35=Anmeldung!$J$19,(Anmeldung!$B$35&amp;": "&amp;Anmeldung!$D$35&amp;", "&amp;Anmeldung!$E$35&amp;" / "&amp;Anmeldung!$G$35&amp;" / "&amp;Anmeldung!$J$35)&lt;&gt;Anmeldung!$O$19),Anmeldung!$B$35&amp;": "&amp;Anmeldung!$D$35&amp;", "&amp;Anmeldung!$E$35&amp;" / "&amp;Anmeldung!$G$35&amp;" / "&amp;Anmeldung!$J$35,"")</f>
        <v/>
      </c>
      <c r="L22" t="str">
        <f>IF(AND(28&lt;&gt;12,Anmeldung!$D$35&lt;&gt;"",Anmeldung!$G$35&lt;&gt;Anmeldung!$G$19,(Anmeldung!$B$35&amp;": "&amp;Anmeldung!$D$35&amp;", "&amp;Anmeldung!$E$35&amp;" / "&amp;Anmeldung!$G$35&amp;" / "&amp;Anmeldung!$J$35)&lt;&gt;Anmeldung!$S$19),Anmeldung!$B$35&amp;": "&amp;Anmeldung!$D$35&amp;", "&amp;Anmeldung!$E$35&amp;" / "&amp;Anmeldung!$G$35&amp;" / "&amp;Anmeldung!$J$35,"")</f>
        <v/>
      </c>
      <c r="M22" t="str">
        <f>IF(AND(28&lt;&gt;12,Anmeldung!$D$35&lt;&gt;"",(Anmeldung!$B$35&amp;": "&amp;Anmeldung!$D$35&amp;", "&amp;Anmeldung!$E$35&amp;" / "&amp;Anmeldung!$G$35&amp;" / "&amp;Anmeldung!$J$35)&lt;&gt;Anmeldung!$R$19),Anmeldung!$B$35&amp;": "&amp;Anmeldung!$D$35&amp;", "&amp;Anmeldung!$E$35&amp;" / "&amp;Anmeldung!$G$35&amp;" / "&amp;Anmeldung!$J$35,"")</f>
        <v/>
      </c>
      <c r="N22" t="str">
        <f>IF(AND(27&lt;&gt;11,Anmeldung!$D$35&lt;&gt;"",Anmeldung!$U$35="Ja",Anmeldung!$G$35=Anmeldung!$G$19,Anmeldung!$J$35=Anmeldung!$J$19),Anmeldung!$B$35&amp;": "&amp;Anmeldung!$D$35&amp;", "&amp;Anmeldung!$E$35&amp;" / "&amp;Anmeldung!$G$35&amp;" / "&amp;Anmeldung!$J$35,"")</f>
        <v/>
      </c>
      <c r="Q22" t="str">
        <f>IF(AND(28&lt;&gt;13,Anmeldung!$D$35&lt;&gt;"",Anmeldung!$G$35=Anmeldung!$G$20,Anmeldung!$J$35=Anmeldung!$J$20),Anmeldung!$B$35&amp;": "&amp;Anmeldung!$D$35&amp;", "&amp;Anmeldung!$E$35&amp;" / "&amp;Anmeldung!$G$35&amp;" / "&amp;Anmeldung!$J$35,"")</f>
        <v/>
      </c>
      <c r="R22" t="str">
        <f>IF(AND(28&lt;&gt;13,Anmeldung!$D$35&lt;&gt;"",Anmeldung!$G$35=Anmeldung!$G$20,Anmeldung!$J$35=Anmeldung!$J$20,(Anmeldung!$B$35&amp;": "&amp;Anmeldung!$D$35&amp;", "&amp;Anmeldung!$E$35&amp;" / "&amp;Anmeldung!$G$35&amp;" / "&amp;Anmeldung!$J$35)&lt;&gt;Anmeldung!$P$20),Anmeldung!$B$35&amp;": "&amp;Anmeldung!$D$35&amp;", "&amp;Anmeldung!$E$35&amp;" / "&amp;Anmeldung!$G$35&amp;" / "&amp;Anmeldung!$J$35,"")</f>
        <v/>
      </c>
      <c r="S22" t="str">
        <f>IF(AND(28&lt;&gt;13,Anmeldung!$D$35&lt;&gt;"",Anmeldung!$G$35=Anmeldung!$G$20,Anmeldung!$J$35=Anmeldung!$J$20,(Anmeldung!$B$35&amp;": "&amp;Anmeldung!$D$35&amp;", "&amp;Anmeldung!$E$35&amp;" / "&amp;Anmeldung!$G$35&amp;" / "&amp;Anmeldung!$J$35)&lt;&gt;Anmeldung!$O$20),Anmeldung!$B$35&amp;": "&amp;Anmeldung!$D$35&amp;", "&amp;Anmeldung!$E$35&amp;" / "&amp;Anmeldung!$G$35&amp;" / "&amp;Anmeldung!$J$35,"")</f>
        <v/>
      </c>
      <c r="T22" t="str">
        <f>IF(AND(28&lt;&gt;13,Anmeldung!$D$35&lt;&gt;"",Anmeldung!$G$35&lt;&gt;Anmeldung!$G$20,(Anmeldung!$B$35&amp;": "&amp;Anmeldung!$D$35&amp;", "&amp;Anmeldung!$E$35&amp;" / "&amp;Anmeldung!$G$35&amp;" / "&amp;Anmeldung!$J$35)&lt;&gt;Anmeldung!$S$20),Anmeldung!$B$35&amp;": "&amp;Anmeldung!$D$35&amp;", "&amp;Anmeldung!$E$35&amp;" / "&amp;Anmeldung!$G$35&amp;" / "&amp;Anmeldung!$J$35,"")</f>
        <v/>
      </c>
      <c r="U22" t="str">
        <f>IF(AND(28&lt;&gt;13,Anmeldung!$D$35&lt;&gt;"",(Anmeldung!$B$35&amp;": "&amp;Anmeldung!$D$35&amp;", "&amp;Anmeldung!$E$35&amp;" / "&amp;Anmeldung!$G$35&amp;" / "&amp;Anmeldung!$J$35)&lt;&gt;Anmeldung!$R$20),Anmeldung!$B$35&amp;": "&amp;Anmeldung!$D$35&amp;", "&amp;Anmeldung!$E$35&amp;" / "&amp;Anmeldung!$G$35&amp;" / "&amp;Anmeldung!$J$35,"")</f>
        <v/>
      </c>
      <c r="V22" t="str">
        <f>IF(AND(27&lt;&gt;12,Anmeldung!$D$35&lt;&gt;"",Anmeldung!$U$35="Ja",Anmeldung!$G$35=Anmeldung!$G$20,Anmeldung!$J$35=Anmeldung!$J$20),Anmeldung!$B$35&amp;": "&amp;Anmeldung!$D$35&amp;", "&amp;Anmeldung!$E$35&amp;" / "&amp;Anmeldung!$G$35&amp;" / "&amp;Anmeldung!$J$35,"")</f>
        <v/>
      </c>
      <c r="Y22" t="str">
        <f>IF(AND(28&lt;&gt;14,Anmeldung!$D$35&lt;&gt;"",Anmeldung!$G$35=Anmeldung!$G$21,Anmeldung!$J$35=Anmeldung!$J$21),Anmeldung!$B$35&amp;": "&amp;Anmeldung!$D$35&amp;", "&amp;Anmeldung!$E$35&amp;" / "&amp;Anmeldung!$G$35&amp;" / "&amp;Anmeldung!$J$35,"")</f>
        <v/>
      </c>
      <c r="Z22" t="str">
        <f>IF(AND(28&lt;&gt;14,Anmeldung!$D$35&lt;&gt;"",Anmeldung!$G$35=Anmeldung!$G$21,Anmeldung!$J$35=Anmeldung!$J$21,(Anmeldung!$B$35&amp;": "&amp;Anmeldung!$D$35&amp;", "&amp;Anmeldung!$E$35&amp;" / "&amp;Anmeldung!$G$35&amp;" / "&amp;Anmeldung!$J$35)&lt;&gt;Anmeldung!$P$21),Anmeldung!$B$35&amp;": "&amp;Anmeldung!$D$35&amp;", "&amp;Anmeldung!$E$35&amp;" / "&amp;Anmeldung!$G$35&amp;" / "&amp;Anmeldung!$J$35,"")</f>
        <v/>
      </c>
      <c r="AA22" t="str">
        <f>IF(AND(28&lt;&gt;14,Anmeldung!$D$35&lt;&gt;"",Anmeldung!$G$35=Anmeldung!$G$21,Anmeldung!$J$35=Anmeldung!$J$21,(Anmeldung!$B$35&amp;": "&amp;Anmeldung!$D$35&amp;", "&amp;Anmeldung!$E$35&amp;" / "&amp;Anmeldung!$G$35&amp;" / "&amp;Anmeldung!$J$35)&lt;&gt;Anmeldung!$O$21),Anmeldung!$B$35&amp;": "&amp;Anmeldung!$D$35&amp;", "&amp;Anmeldung!$E$35&amp;" / "&amp;Anmeldung!$G$35&amp;" / "&amp;Anmeldung!$J$35,"")</f>
        <v/>
      </c>
      <c r="AB22" t="str">
        <f>IF(AND(28&lt;&gt;14,Anmeldung!$D$35&lt;&gt;"",Anmeldung!$G$35&lt;&gt;Anmeldung!$G$21,(Anmeldung!$B$35&amp;": "&amp;Anmeldung!$D$35&amp;", "&amp;Anmeldung!$E$35&amp;" / "&amp;Anmeldung!$G$35&amp;" / "&amp;Anmeldung!$J$35)&lt;&gt;Anmeldung!$S$21),Anmeldung!$B$35&amp;": "&amp;Anmeldung!$D$35&amp;", "&amp;Anmeldung!$E$35&amp;" / "&amp;Anmeldung!$G$35&amp;" / "&amp;Anmeldung!$J$35,"")</f>
        <v/>
      </c>
      <c r="AC22" t="str">
        <f>IF(AND(28&lt;&gt;14,Anmeldung!$D$35&lt;&gt;"",(Anmeldung!$B$35&amp;": "&amp;Anmeldung!$D$35&amp;", "&amp;Anmeldung!$E$35&amp;" / "&amp;Anmeldung!$G$35&amp;" / "&amp;Anmeldung!$J$35)&lt;&gt;Anmeldung!$R$21),Anmeldung!$B$35&amp;": "&amp;Anmeldung!$D$35&amp;", "&amp;Anmeldung!$E$35&amp;" / "&amp;Anmeldung!$G$35&amp;" / "&amp;Anmeldung!$J$35,"")</f>
        <v/>
      </c>
      <c r="AD22" t="str">
        <f>IF(AND(27&lt;&gt;13,Anmeldung!$D$35&lt;&gt;"",Anmeldung!$U$35="Ja",Anmeldung!$G$35=Anmeldung!$G$21,Anmeldung!$J$35=Anmeldung!$J$21),Anmeldung!$B$35&amp;": "&amp;Anmeldung!$D$35&amp;", "&amp;Anmeldung!$E$35&amp;" / "&amp;Anmeldung!$G$35&amp;" / "&amp;Anmeldung!$J$35,"")</f>
        <v/>
      </c>
      <c r="AG22" t="str">
        <f>IF(AND(28&lt;&gt;15,Anmeldung!$D$35&lt;&gt;"",Anmeldung!$G$35=Anmeldung!$G$22,Anmeldung!$J$35=Anmeldung!$J$22),Anmeldung!$B$35&amp;": "&amp;Anmeldung!$D$35&amp;", "&amp;Anmeldung!$E$35&amp;" / "&amp;Anmeldung!$G$35&amp;" / "&amp;Anmeldung!$J$35,"")</f>
        <v/>
      </c>
      <c r="AH22" t="str">
        <f>IF(AND(28&lt;&gt;15,Anmeldung!$D$35&lt;&gt;"",Anmeldung!$G$35=Anmeldung!$G$22,Anmeldung!$J$35=Anmeldung!$J$22,(Anmeldung!$B$35&amp;": "&amp;Anmeldung!$D$35&amp;", "&amp;Anmeldung!$E$35&amp;" / "&amp;Anmeldung!$G$35&amp;" / "&amp;Anmeldung!$J$35)&lt;&gt;Anmeldung!$P$22),Anmeldung!$B$35&amp;": "&amp;Anmeldung!$D$35&amp;", "&amp;Anmeldung!$E$35&amp;" / "&amp;Anmeldung!$G$35&amp;" / "&amp;Anmeldung!$J$35,"")</f>
        <v/>
      </c>
      <c r="AI22" t="str">
        <f>IF(AND(28&lt;&gt;15,Anmeldung!$D$35&lt;&gt;"",Anmeldung!$G$35=Anmeldung!$G$22,Anmeldung!$J$35=Anmeldung!$J$22,(Anmeldung!$B$35&amp;": "&amp;Anmeldung!$D$35&amp;", "&amp;Anmeldung!$E$35&amp;" / "&amp;Anmeldung!$G$35&amp;" / "&amp;Anmeldung!$J$35)&lt;&gt;Anmeldung!$O$22),Anmeldung!$B$35&amp;": "&amp;Anmeldung!$D$35&amp;", "&amp;Anmeldung!$E$35&amp;" / "&amp;Anmeldung!$G$35&amp;" / "&amp;Anmeldung!$J$35,"")</f>
        <v/>
      </c>
      <c r="AJ22" t="str">
        <f>IF(AND(28&lt;&gt;15,Anmeldung!$D$35&lt;&gt;"",Anmeldung!$G$35&lt;&gt;Anmeldung!$G$22,(Anmeldung!$B$35&amp;": "&amp;Anmeldung!$D$35&amp;", "&amp;Anmeldung!$E$35&amp;" / "&amp;Anmeldung!$G$35&amp;" / "&amp;Anmeldung!$J$35)&lt;&gt;Anmeldung!$S$22),Anmeldung!$B$35&amp;": "&amp;Anmeldung!$D$35&amp;", "&amp;Anmeldung!$E$35&amp;" / "&amp;Anmeldung!$G$35&amp;" / "&amp;Anmeldung!$J$35,"")</f>
        <v/>
      </c>
      <c r="AK22" t="str">
        <f>IF(AND(28&lt;&gt;15,Anmeldung!$D$35&lt;&gt;"",(Anmeldung!$B$35&amp;": "&amp;Anmeldung!$D$35&amp;", "&amp;Anmeldung!$E$35&amp;" / "&amp;Anmeldung!$G$35&amp;" / "&amp;Anmeldung!$J$35)&lt;&gt;Anmeldung!$R$22),Anmeldung!$B$35&amp;": "&amp;Anmeldung!$D$35&amp;", "&amp;Anmeldung!$E$35&amp;" / "&amp;Anmeldung!$G$35&amp;" / "&amp;Anmeldung!$J$35,"")</f>
        <v/>
      </c>
      <c r="AL22" t="str">
        <f>IF(AND(27&lt;&gt;14,Anmeldung!$D$35&lt;&gt;"",Anmeldung!$U$35="Ja",Anmeldung!$G$35=Anmeldung!$G$22,Anmeldung!$J$35=Anmeldung!$J$22),Anmeldung!$B$35&amp;": "&amp;Anmeldung!$D$35&amp;", "&amp;Anmeldung!$E$35&amp;" / "&amp;Anmeldung!$G$35&amp;" / "&amp;Anmeldung!$J$35,"")</f>
        <v/>
      </c>
      <c r="AO22" t="str">
        <f>IF(AND(28&lt;&gt;16,Anmeldung!$D$35&lt;&gt;"",Anmeldung!$G$35=Anmeldung!$G$23,Anmeldung!$J$35=Anmeldung!$J$23),Anmeldung!$B$35&amp;": "&amp;Anmeldung!$D$35&amp;", "&amp;Anmeldung!$E$35&amp;" / "&amp;Anmeldung!$G$35&amp;" / "&amp;Anmeldung!$J$35,"")</f>
        <v/>
      </c>
      <c r="AP22" t="str">
        <f>IF(AND(28&lt;&gt;16,Anmeldung!$D$35&lt;&gt;"",Anmeldung!$G$35=Anmeldung!$G$23,Anmeldung!$J$35=Anmeldung!$J$23,(Anmeldung!$B$35&amp;": "&amp;Anmeldung!$D$35&amp;", "&amp;Anmeldung!$E$35&amp;" / "&amp;Anmeldung!$G$35&amp;" / "&amp;Anmeldung!$J$35)&lt;&gt;Anmeldung!$P$23),Anmeldung!$B$35&amp;": "&amp;Anmeldung!$D$35&amp;", "&amp;Anmeldung!$E$35&amp;" / "&amp;Anmeldung!$G$35&amp;" / "&amp;Anmeldung!$J$35,"")</f>
        <v/>
      </c>
      <c r="AQ22" t="str">
        <f>IF(AND(28&lt;&gt;16,Anmeldung!$D$35&lt;&gt;"",Anmeldung!$G$35=Anmeldung!$G$23,Anmeldung!$J$35=Anmeldung!$J$23,(Anmeldung!$B$35&amp;": "&amp;Anmeldung!$D$35&amp;", "&amp;Anmeldung!$E$35&amp;" / "&amp;Anmeldung!$G$35&amp;" / "&amp;Anmeldung!$J$35)&lt;&gt;Anmeldung!$O$23),Anmeldung!$B$35&amp;": "&amp;Anmeldung!$D$35&amp;", "&amp;Anmeldung!$E$35&amp;" / "&amp;Anmeldung!$G$35&amp;" / "&amp;Anmeldung!$J$35,"")</f>
        <v/>
      </c>
      <c r="AR22" t="str">
        <f>IF(AND(28&lt;&gt;16,Anmeldung!$D$35&lt;&gt;"",Anmeldung!$G$35&lt;&gt;Anmeldung!$G$23,(Anmeldung!$B$35&amp;": "&amp;Anmeldung!$D$35&amp;", "&amp;Anmeldung!$E$35&amp;" / "&amp;Anmeldung!$G$35&amp;" / "&amp;Anmeldung!$J$35)&lt;&gt;Anmeldung!$S$23),Anmeldung!$B$35&amp;": "&amp;Anmeldung!$D$35&amp;", "&amp;Anmeldung!$E$35&amp;" / "&amp;Anmeldung!$G$35&amp;" / "&amp;Anmeldung!$J$35,"")</f>
        <v/>
      </c>
      <c r="AS22" t="str">
        <f>IF(AND(28&lt;&gt;16,Anmeldung!$D$35&lt;&gt;"",(Anmeldung!$B$35&amp;": "&amp;Anmeldung!$D$35&amp;", "&amp;Anmeldung!$E$35&amp;" / "&amp;Anmeldung!$G$35&amp;" / "&amp;Anmeldung!$J$35)&lt;&gt;Anmeldung!$R$23),Anmeldung!$B$35&amp;": "&amp;Anmeldung!$D$35&amp;", "&amp;Anmeldung!$E$35&amp;" / "&amp;Anmeldung!$G$35&amp;" / "&amp;Anmeldung!$J$35,"")</f>
        <v/>
      </c>
      <c r="AT22" t="str">
        <f>IF(AND(27&lt;&gt;15,Anmeldung!$D$35&lt;&gt;"",Anmeldung!$U$35="Ja",Anmeldung!$G$35=Anmeldung!$G$23,Anmeldung!$J$35=Anmeldung!$J$23),Anmeldung!$B$35&amp;": "&amp;Anmeldung!$D$35&amp;", "&amp;Anmeldung!$E$35&amp;" / "&amp;Anmeldung!$G$35&amp;" / "&amp;Anmeldung!$J$35,"")</f>
        <v/>
      </c>
      <c r="AW22" t="str">
        <f>IF(AND(28&lt;&gt;17,Anmeldung!$D$35&lt;&gt;"",Anmeldung!$G$35=Anmeldung!$G$24,Anmeldung!$J$35=Anmeldung!$J$24),Anmeldung!$B$35&amp;": "&amp;Anmeldung!$D$35&amp;", "&amp;Anmeldung!$E$35&amp;" / "&amp;Anmeldung!$G$35&amp;" / "&amp;Anmeldung!$J$35,"")</f>
        <v/>
      </c>
      <c r="AX22" t="str">
        <f>IF(AND(28&lt;&gt;17,Anmeldung!$D$35&lt;&gt;"",Anmeldung!$G$35=Anmeldung!$G$24,Anmeldung!$J$35=Anmeldung!$J$24,(Anmeldung!$B$35&amp;": "&amp;Anmeldung!$D$35&amp;", "&amp;Anmeldung!$E$35&amp;" / "&amp;Anmeldung!$G$35&amp;" / "&amp;Anmeldung!$J$35)&lt;&gt;Anmeldung!$P$24),Anmeldung!$B$35&amp;": "&amp;Anmeldung!$D$35&amp;", "&amp;Anmeldung!$E$35&amp;" / "&amp;Anmeldung!$G$35&amp;" / "&amp;Anmeldung!$J$35,"")</f>
        <v/>
      </c>
      <c r="AY22" t="str">
        <f>IF(AND(28&lt;&gt;17,Anmeldung!$D$35&lt;&gt;"",Anmeldung!$G$35=Anmeldung!$G$24,Anmeldung!$J$35=Anmeldung!$J$24,(Anmeldung!$B$35&amp;": "&amp;Anmeldung!$D$35&amp;", "&amp;Anmeldung!$E$35&amp;" / "&amp;Anmeldung!$G$35&amp;" / "&amp;Anmeldung!$J$35)&lt;&gt;Anmeldung!$O$24),Anmeldung!$B$35&amp;": "&amp;Anmeldung!$D$35&amp;", "&amp;Anmeldung!$E$35&amp;" / "&amp;Anmeldung!$G$35&amp;" / "&amp;Anmeldung!$J$35,"")</f>
        <v/>
      </c>
      <c r="AZ22" t="str">
        <f>IF(AND(28&lt;&gt;17,Anmeldung!$D$35&lt;&gt;"",Anmeldung!$G$35&lt;&gt;Anmeldung!$G$24,(Anmeldung!$B$35&amp;": "&amp;Anmeldung!$D$35&amp;", "&amp;Anmeldung!$E$35&amp;" / "&amp;Anmeldung!$G$35&amp;" / "&amp;Anmeldung!$J$35)&lt;&gt;Anmeldung!$S$24),Anmeldung!$B$35&amp;": "&amp;Anmeldung!$D$35&amp;", "&amp;Anmeldung!$E$35&amp;" / "&amp;Anmeldung!$G$35&amp;" / "&amp;Anmeldung!$J$35,"")</f>
        <v/>
      </c>
      <c r="BA22" t="str">
        <f>IF(AND(28&lt;&gt;17,Anmeldung!$D$35&lt;&gt;"",(Anmeldung!$B$35&amp;": "&amp;Anmeldung!$D$35&amp;", "&amp;Anmeldung!$E$35&amp;" / "&amp;Anmeldung!$G$35&amp;" / "&amp;Anmeldung!$J$35)&lt;&gt;Anmeldung!$R$24),Anmeldung!$B$35&amp;": "&amp;Anmeldung!$D$35&amp;", "&amp;Anmeldung!$E$35&amp;" / "&amp;Anmeldung!$G$35&amp;" / "&amp;Anmeldung!$J$35,"")</f>
        <v/>
      </c>
      <c r="BB22" t="str">
        <f>IF(AND(27&lt;&gt;16,Anmeldung!$D$35&lt;&gt;"",Anmeldung!$U$35="Ja",Anmeldung!$G$35=Anmeldung!$G$24,Anmeldung!$J$35=Anmeldung!$J$24),Anmeldung!$B$35&amp;": "&amp;Anmeldung!$D$35&amp;", "&amp;Anmeldung!$E$35&amp;" / "&amp;Anmeldung!$G$35&amp;" / "&amp;Anmeldung!$J$35,"")</f>
        <v/>
      </c>
      <c r="BE22" t="str">
        <f>IF(AND(28&lt;&gt;18,Anmeldung!$D$35&lt;&gt;"",Anmeldung!$G$35=Anmeldung!$G$25,Anmeldung!$J$35=Anmeldung!$J$25),Anmeldung!$B$35&amp;": "&amp;Anmeldung!$D$35&amp;", "&amp;Anmeldung!$E$35&amp;" / "&amp;Anmeldung!$G$35&amp;" / "&amp;Anmeldung!$J$35,"")</f>
        <v/>
      </c>
      <c r="BF22" t="str">
        <f>IF(AND(28&lt;&gt;18,Anmeldung!$D$35&lt;&gt;"",Anmeldung!$G$35=Anmeldung!$G$25,Anmeldung!$J$35=Anmeldung!$J$25,(Anmeldung!$B$35&amp;": "&amp;Anmeldung!$D$35&amp;", "&amp;Anmeldung!$E$35&amp;" / "&amp;Anmeldung!$G$35&amp;" / "&amp;Anmeldung!$J$35)&lt;&gt;Anmeldung!$P$25),Anmeldung!$B$35&amp;": "&amp;Anmeldung!$D$35&amp;", "&amp;Anmeldung!$E$35&amp;" / "&amp;Anmeldung!$G$35&amp;" / "&amp;Anmeldung!$J$35,"")</f>
        <v/>
      </c>
      <c r="BG22" t="str">
        <f>IF(AND(28&lt;&gt;18,Anmeldung!$D$35&lt;&gt;"",Anmeldung!$G$35=Anmeldung!$G$25,Anmeldung!$J$35=Anmeldung!$J$25,(Anmeldung!$B$35&amp;": "&amp;Anmeldung!$D$35&amp;", "&amp;Anmeldung!$E$35&amp;" / "&amp;Anmeldung!$G$35&amp;" / "&amp;Anmeldung!$J$35)&lt;&gt;Anmeldung!$O$25),Anmeldung!$B$35&amp;": "&amp;Anmeldung!$D$35&amp;", "&amp;Anmeldung!$E$35&amp;" / "&amp;Anmeldung!$G$35&amp;" / "&amp;Anmeldung!$J$35,"")</f>
        <v/>
      </c>
      <c r="BH22" t="str">
        <f>IF(AND(28&lt;&gt;18,Anmeldung!$D$35&lt;&gt;"",Anmeldung!$G$35&lt;&gt;Anmeldung!$G$25,(Anmeldung!$B$35&amp;": "&amp;Anmeldung!$D$35&amp;", "&amp;Anmeldung!$E$35&amp;" / "&amp;Anmeldung!$G$35&amp;" / "&amp;Anmeldung!$J$35)&lt;&gt;Anmeldung!$S$25),Anmeldung!$B$35&amp;": "&amp;Anmeldung!$D$35&amp;", "&amp;Anmeldung!$E$35&amp;" / "&amp;Anmeldung!$G$35&amp;" / "&amp;Anmeldung!$J$35,"")</f>
        <v/>
      </c>
      <c r="BI22" t="str">
        <f>IF(AND(28&lt;&gt;18,Anmeldung!$D$35&lt;&gt;"",(Anmeldung!$B$35&amp;": "&amp;Anmeldung!$D$35&amp;", "&amp;Anmeldung!$E$35&amp;" / "&amp;Anmeldung!$G$35&amp;" / "&amp;Anmeldung!$J$35)&lt;&gt;Anmeldung!$R$25),Anmeldung!$B$35&amp;": "&amp;Anmeldung!$D$35&amp;", "&amp;Anmeldung!$E$35&amp;" / "&amp;Anmeldung!$G$35&amp;" / "&amp;Anmeldung!$J$35,"")</f>
        <v/>
      </c>
      <c r="BJ22" t="str">
        <f>IF(AND(27&lt;&gt;17,Anmeldung!$D$35&lt;&gt;"",Anmeldung!$U$35="Ja",Anmeldung!$G$35=Anmeldung!$G$25,Anmeldung!$J$35=Anmeldung!$J$25),Anmeldung!$B$35&amp;": "&amp;Anmeldung!$D$35&amp;", "&amp;Anmeldung!$E$35&amp;" / "&amp;Anmeldung!$G$35&amp;" / "&amp;Anmeldung!$J$35,"")</f>
        <v/>
      </c>
      <c r="BM22" t="str">
        <f>IF(AND(28&lt;&gt;19,Anmeldung!$D$35&lt;&gt;"",Anmeldung!$G$35=Anmeldung!$G$26,Anmeldung!$J$35=Anmeldung!$J$26),Anmeldung!$B$35&amp;": "&amp;Anmeldung!$D$35&amp;", "&amp;Anmeldung!$E$35&amp;" / "&amp;Anmeldung!$G$35&amp;" / "&amp;Anmeldung!$J$35,"")</f>
        <v/>
      </c>
      <c r="BN22" t="str">
        <f>IF(AND(28&lt;&gt;19,Anmeldung!$D$35&lt;&gt;"",Anmeldung!$G$35=Anmeldung!$G$26,Anmeldung!$J$35=Anmeldung!$J$26,(Anmeldung!$B$35&amp;": "&amp;Anmeldung!$D$35&amp;", "&amp;Anmeldung!$E$35&amp;" / "&amp;Anmeldung!$G$35&amp;" / "&amp;Anmeldung!$J$35)&lt;&gt;Anmeldung!$P$26),Anmeldung!$B$35&amp;": "&amp;Anmeldung!$D$35&amp;", "&amp;Anmeldung!$E$35&amp;" / "&amp;Anmeldung!$G$35&amp;" / "&amp;Anmeldung!$J$35,"")</f>
        <v/>
      </c>
      <c r="BO22" t="str">
        <f>IF(AND(28&lt;&gt;19,Anmeldung!$D$35&lt;&gt;"",Anmeldung!$G$35=Anmeldung!$G$26,Anmeldung!$J$35=Anmeldung!$J$26,(Anmeldung!$B$35&amp;": "&amp;Anmeldung!$D$35&amp;", "&amp;Anmeldung!$E$35&amp;" / "&amp;Anmeldung!$G$35&amp;" / "&amp;Anmeldung!$J$35)&lt;&gt;Anmeldung!$O$26),Anmeldung!$B$35&amp;": "&amp;Anmeldung!$D$35&amp;", "&amp;Anmeldung!$E$35&amp;" / "&amp;Anmeldung!$G$35&amp;" / "&amp;Anmeldung!$J$35,"")</f>
        <v/>
      </c>
      <c r="BP22" t="str">
        <f>IF(AND(28&lt;&gt;19,Anmeldung!$D$35&lt;&gt;"",Anmeldung!$G$35&lt;&gt;Anmeldung!$G$26,(Anmeldung!$B$35&amp;": "&amp;Anmeldung!$D$35&amp;", "&amp;Anmeldung!$E$35&amp;" / "&amp;Anmeldung!$G$35&amp;" / "&amp;Anmeldung!$J$35)&lt;&gt;Anmeldung!$S$26),Anmeldung!$B$35&amp;": "&amp;Anmeldung!$D$35&amp;", "&amp;Anmeldung!$E$35&amp;" / "&amp;Anmeldung!$G$35&amp;" / "&amp;Anmeldung!$J$35,"")</f>
        <v/>
      </c>
      <c r="BQ22" t="str">
        <f>IF(AND(28&lt;&gt;19,Anmeldung!$D$35&lt;&gt;"",(Anmeldung!$B$35&amp;": "&amp;Anmeldung!$D$35&amp;", "&amp;Anmeldung!$E$35&amp;" / "&amp;Anmeldung!$G$35&amp;" / "&amp;Anmeldung!$J$35)&lt;&gt;Anmeldung!$R$26),Anmeldung!$B$35&amp;": "&amp;Anmeldung!$D$35&amp;", "&amp;Anmeldung!$E$35&amp;" / "&amp;Anmeldung!$G$35&amp;" / "&amp;Anmeldung!$J$35,"")</f>
        <v/>
      </c>
      <c r="BR22" t="str">
        <f>IF(AND(27&lt;&gt;18,Anmeldung!$D$35&lt;&gt;"",Anmeldung!$U$35="Ja",Anmeldung!$G$35=Anmeldung!$G$26,Anmeldung!$J$35=Anmeldung!$J$26),Anmeldung!$B$35&amp;": "&amp;Anmeldung!$D$35&amp;", "&amp;Anmeldung!$E$35&amp;" / "&amp;Anmeldung!$G$35&amp;" / "&amp;Anmeldung!$J$35,"")</f>
        <v/>
      </c>
      <c r="BU22" t="str">
        <f>IF(AND(28&lt;&gt;20,Anmeldung!$D$35&lt;&gt;"",Anmeldung!$G$35=Anmeldung!$G$27,Anmeldung!$J$35=Anmeldung!$J$27),Anmeldung!$B$35&amp;": "&amp;Anmeldung!$D$35&amp;", "&amp;Anmeldung!$E$35&amp;" / "&amp;Anmeldung!$G$35&amp;" / "&amp;Anmeldung!$J$35,"")</f>
        <v/>
      </c>
      <c r="BV22" t="str">
        <f>IF(AND(28&lt;&gt;20,Anmeldung!$D$35&lt;&gt;"",Anmeldung!$G$35=Anmeldung!$G$27,Anmeldung!$J$35=Anmeldung!$J$27,(Anmeldung!$B$35&amp;": "&amp;Anmeldung!$D$35&amp;", "&amp;Anmeldung!$E$35&amp;" / "&amp;Anmeldung!$G$35&amp;" / "&amp;Anmeldung!$J$35)&lt;&gt;Anmeldung!$P$27),Anmeldung!$B$35&amp;": "&amp;Anmeldung!$D$35&amp;", "&amp;Anmeldung!$E$35&amp;" / "&amp;Anmeldung!$G$35&amp;" / "&amp;Anmeldung!$J$35,"")</f>
        <v/>
      </c>
      <c r="BW22" t="str">
        <f>IF(AND(28&lt;&gt;20,Anmeldung!$D$35&lt;&gt;"",Anmeldung!$G$35=Anmeldung!$G$27,Anmeldung!$J$35=Anmeldung!$J$27,(Anmeldung!$B$35&amp;": "&amp;Anmeldung!$D$35&amp;", "&amp;Anmeldung!$E$35&amp;" / "&amp;Anmeldung!$G$35&amp;" / "&amp;Anmeldung!$J$35)&lt;&gt;Anmeldung!$O$27),Anmeldung!$B$35&amp;": "&amp;Anmeldung!$D$35&amp;", "&amp;Anmeldung!$E$35&amp;" / "&amp;Anmeldung!$G$35&amp;" / "&amp;Anmeldung!$J$35,"")</f>
        <v/>
      </c>
      <c r="BX22" t="str">
        <f>IF(AND(28&lt;&gt;20,Anmeldung!$D$35&lt;&gt;"",Anmeldung!$G$35&lt;&gt;Anmeldung!$G$27,(Anmeldung!$B$35&amp;": "&amp;Anmeldung!$D$35&amp;", "&amp;Anmeldung!$E$35&amp;" / "&amp;Anmeldung!$G$35&amp;" / "&amp;Anmeldung!$J$35)&lt;&gt;Anmeldung!$S$27),Anmeldung!$B$35&amp;": "&amp;Anmeldung!$D$35&amp;", "&amp;Anmeldung!$E$35&amp;" / "&amp;Anmeldung!$G$35&amp;" / "&amp;Anmeldung!$J$35,"")</f>
        <v/>
      </c>
      <c r="BY22" t="str">
        <f>IF(AND(28&lt;&gt;20,Anmeldung!$D$35&lt;&gt;"",(Anmeldung!$B$35&amp;": "&amp;Anmeldung!$D$35&amp;", "&amp;Anmeldung!$E$35&amp;" / "&amp;Anmeldung!$G$35&amp;" / "&amp;Anmeldung!$J$35)&lt;&gt;Anmeldung!$R$27),Anmeldung!$B$35&amp;": "&amp;Anmeldung!$D$35&amp;", "&amp;Anmeldung!$E$35&amp;" / "&amp;Anmeldung!$G$35&amp;" / "&amp;Anmeldung!$J$35,"")</f>
        <v/>
      </c>
      <c r="BZ22" t="str">
        <f>IF(AND(27&lt;&gt;19,Anmeldung!$D$35&lt;&gt;"",Anmeldung!$U$35="Ja",Anmeldung!$G$35=Anmeldung!$G$27,Anmeldung!$J$35=Anmeldung!$J$27),Anmeldung!$B$35&amp;": "&amp;Anmeldung!$D$35&amp;", "&amp;Anmeldung!$E$35&amp;" / "&amp;Anmeldung!$G$35&amp;" / "&amp;Anmeldung!$J$35,"")</f>
        <v/>
      </c>
      <c r="CC22" t="str">
        <f>IF(AND(28&lt;&gt;21,Anmeldung!$D$35&lt;&gt;"",Anmeldung!$G$35=Anmeldung!$G$28,Anmeldung!$J$35=Anmeldung!$J$28),Anmeldung!$B$35&amp;": "&amp;Anmeldung!$D$35&amp;", "&amp;Anmeldung!$E$35&amp;" / "&amp;Anmeldung!$G$35&amp;" / "&amp;Anmeldung!$J$35,"")</f>
        <v/>
      </c>
      <c r="CD22" t="str">
        <f>IF(AND(28&lt;&gt;21,Anmeldung!$D$35&lt;&gt;"",Anmeldung!$G$35=Anmeldung!$G$28,Anmeldung!$J$35=Anmeldung!$J$28,(Anmeldung!$B$35&amp;": "&amp;Anmeldung!$D$35&amp;", "&amp;Anmeldung!$E$35&amp;" / "&amp;Anmeldung!$G$35&amp;" / "&amp;Anmeldung!$J$35)&lt;&gt;Anmeldung!$P$28),Anmeldung!$B$35&amp;": "&amp;Anmeldung!$D$35&amp;", "&amp;Anmeldung!$E$35&amp;" / "&amp;Anmeldung!$G$35&amp;" / "&amp;Anmeldung!$J$35,"")</f>
        <v/>
      </c>
      <c r="CE22" t="str">
        <f>IF(AND(28&lt;&gt;21,Anmeldung!$D$35&lt;&gt;"",Anmeldung!$G$35=Anmeldung!$G$28,Anmeldung!$J$35=Anmeldung!$J$28,(Anmeldung!$B$35&amp;": "&amp;Anmeldung!$D$35&amp;", "&amp;Anmeldung!$E$35&amp;" / "&amp;Anmeldung!$G$35&amp;" / "&amp;Anmeldung!$J$35)&lt;&gt;Anmeldung!$O$28),Anmeldung!$B$35&amp;": "&amp;Anmeldung!$D$35&amp;", "&amp;Anmeldung!$E$35&amp;" / "&amp;Anmeldung!$G$35&amp;" / "&amp;Anmeldung!$J$35,"")</f>
        <v/>
      </c>
      <c r="CF22" t="str">
        <f>IF(AND(28&lt;&gt;21,Anmeldung!$D$35&lt;&gt;"",Anmeldung!$G$35&lt;&gt;Anmeldung!$G$28,(Anmeldung!$B$35&amp;": "&amp;Anmeldung!$D$35&amp;", "&amp;Anmeldung!$E$35&amp;" / "&amp;Anmeldung!$G$35&amp;" / "&amp;Anmeldung!$J$35)&lt;&gt;Anmeldung!$S$28),Anmeldung!$B$35&amp;": "&amp;Anmeldung!$D$35&amp;", "&amp;Anmeldung!$E$35&amp;" / "&amp;Anmeldung!$G$35&amp;" / "&amp;Anmeldung!$J$35,"")</f>
        <v/>
      </c>
      <c r="CG22" t="str">
        <f>IF(AND(28&lt;&gt;21,Anmeldung!$D$35&lt;&gt;"",(Anmeldung!$B$35&amp;": "&amp;Anmeldung!$D$35&amp;", "&amp;Anmeldung!$E$35&amp;" / "&amp;Anmeldung!$G$35&amp;" / "&amp;Anmeldung!$J$35)&lt;&gt;Anmeldung!$R$28),Anmeldung!$B$35&amp;": "&amp;Anmeldung!$D$35&amp;", "&amp;Anmeldung!$E$35&amp;" / "&amp;Anmeldung!$G$35&amp;" / "&amp;Anmeldung!$J$35,"")</f>
        <v/>
      </c>
      <c r="CH22" t="str">
        <f>IF(AND(27&lt;&gt;20,Anmeldung!$D$35&lt;&gt;"",Anmeldung!$U$35="Ja",Anmeldung!$G$35=Anmeldung!$G$28,Anmeldung!$J$35=Anmeldung!$J$28),Anmeldung!$B$35&amp;": "&amp;Anmeldung!$D$35&amp;", "&amp;Anmeldung!$E$35&amp;" / "&amp;Anmeldung!$G$35&amp;" / "&amp;Anmeldung!$J$35,"")</f>
        <v/>
      </c>
      <c r="CK22" t="str">
        <f>IF(AND(28&lt;&gt;22,Anmeldung!$D$35&lt;&gt;"",Anmeldung!$G$35=Anmeldung!$G$29,Anmeldung!$J$35=Anmeldung!$J$29),Anmeldung!$B$35&amp;": "&amp;Anmeldung!$D$35&amp;", "&amp;Anmeldung!$E$35&amp;" / "&amp;Anmeldung!$G$35&amp;" / "&amp;Anmeldung!$J$35,"")</f>
        <v/>
      </c>
      <c r="CL22" t="str">
        <f>IF(AND(28&lt;&gt;22,Anmeldung!$D$35&lt;&gt;"",Anmeldung!$G$35=Anmeldung!$G$29,Anmeldung!$J$35=Anmeldung!$J$29,(Anmeldung!$B$35&amp;": "&amp;Anmeldung!$D$35&amp;", "&amp;Anmeldung!$E$35&amp;" / "&amp;Anmeldung!$G$35&amp;" / "&amp;Anmeldung!$J$35)&lt;&gt;Anmeldung!$P$29),Anmeldung!$B$35&amp;": "&amp;Anmeldung!$D$35&amp;", "&amp;Anmeldung!$E$35&amp;" / "&amp;Anmeldung!$G$35&amp;" / "&amp;Anmeldung!$J$35,"")</f>
        <v/>
      </c>
      <c r="CM22" t="str">
        <f>IF(AND(28&lt;&gt;22,Anmeldung!$D$35&lt;&gt;"",Anmeldung!$G$35=Anmeldung!$G$29,Anmeldung!$J$35=Anmeldung!$J$29,(Anmeldung!$B$35&amp;": "&amp;Anmeldung!$D$35&amp;", "&amp;Anmeldung!$E$35&amp;" / "&amp;Anmeldung!$G$35&amp;" / "&amp;Anmeldung!$J$35)&lt;&gt;Anmeldung!$O$29),Anmeldung!$B$35&amp;": "&amp;Anmeldung!$D$35&amp;", "&amp;Anmeldung!$E$35&amp;" / "&amp;Anmeldung!$G$35&amp;" / "&amp;Anmeldung!$J$35,"")</f>
        <v/>
      </c>
      <c r="CN22" t="str">
        <f>IF(AND(28&lt;&gt;22,Anmeldung!$D$35&lt;&gt;"",Anmeldung!$G$35&lt;&gt;Anmeldung!$G$29,(Anmeldung!$B$35&amp;": "&amp;Anmeldung!$D$35&amp;", "&amp;Anmeldung!$E$35&amp;" / "&amp;Anmeldung!$G$35&amp;" / "&amp;Anmeldung!$J$35)&lt;&gt;Anmeldung!$S$29),Anmeldung!$B$35&amp;": "&amp;Anmeldung!$D$35&amp;", "&amp;Anmeldung!$E$35&amp;" / "&amp;Anmeldung!$G$35&amp;" / "&amp;Anmeldung!$J$35,"")</f>
        <v/>
      </c>
      <c r="CO22" t="str">
        <f>IF(AND(28&lt;&gt;22,Anmeldung!$D$35&lt;&gt;"",(Anmeldung!$B$35&amp;": "&amp;Anmeldung!$D$35&amp;", "&amp;Anmeldung!$E$35&amp;" / "&amp;Anmeldung!$G$35&amp;" / "&amp;Anmeldung!$J$35)&lt;&gt;Anmeldung!$R$29),Anmeldung!$B$35&amp;": "&amp;Anmeldung!$D$35&amp;", "&amp;Anmeldung!$E$35&amp;" / "&amp;Anmeldung!$G$35&amp;" / "&amp;Anmeldung!$J$35,"")</f>
        <v/>
      </c>
      <c r="CP22" t="str">
        <f>IF(AND(27&lt;&gt;21,Anmeldung!$D$35&lt;&gt;"",Anmeldung!$U$35="Ja",Anmeldung!$G$35=Anmeldung!$G$29,Anmeldung!$J$35=Anmeldung!$J$29),Anmeldung!$B$35&amp;": "&amp;Anmeldung!$D$35&amp;", "&amp;Anmeldung!$E$35&amp;" / "&amp;Anmeldung!$G$35&amp;" / "&amp;Anmeldung!$J$35,"")</f>
        <v/>
      </c>
      <c r="CS22" t="str">
        <f>IF(AND(28&lt;&gt;23,Anmeldung!$D$35&lt;&gt;"",Anmeldung!$G$35=Anmeldung!$G$30,Anmeldung!$J$35=Anmeldung!$J$30),Anmeldung!$B$35&amp;": "&amp;Anmeldung!$D$35&amp;", "&amp;Anmeldung!$E$35&amp;" / "&amp;Anmeldung!$G$35&amp;" / "&amp;Anmeldung!$J$35,"")</f>
        <v/>
      </c>
      <c r="CT22" t="str">
        <f>IF(AND(28&lt;&gt;23,Anmeldung!$D$35&lt;&gt;"",Anmeldung!$G$35=Anmeldung!$G$30,Anmeldung!$J$35=Anmeldung!$J$30,(Anmeldung!$B$35&amp;": "&amp;Anmeldung!$D$35&amp;", "&amp;Anmeldung!$E$35&amp;" / "&amp;Anmeldung!$G$35&amp;" / "&amp;Anmeldung!$J$35)&lt;&gt;Anmeldung!$P$30),Anmeldung!$B$35&amp;": "&amp;Anmeldung!$D$35&amp;", "&amp;Anmeldung!$E$35&amp;" / "&amp;Anmeldung!$G$35&amp;" / "&amp;Anmeldung!$J$35,"")</f>
        <v/>
      </c>
      <c r="CU22" t="str">
        <f>IF(AND(28&lt;&gt;23,Anmeldung!$D$35&lt;&gt;"",Anmeldung!$G$35=Anmeldung!$G$30,Anmeldung!$J$35=Anmeldung!$J$30,(Anmeldung!$B$35&amp;": "&amp;Anmeldung!$D$35&amp;", "&amp;Anmeldung!$E$35&amp;" / "&amp;Anmeldung!$G$35&amp;" / "&amp;Anmeldung!$J$35)&lt;&gt;Anmeldung!$O$30),Anmeldung!$B$35&amp;": "&amp;Anmeldung!$D$35&amp;", "&amp;Anmeldung!$E$35&amp;" / "&amp;Anmeldung!$G$35&amp;" / "&amp;Anmeldung!$J$35,"")</f>
        <v/>
      </c>
      <c r="CV22" t="str">
        <f>IF(AND(28&lt;&gt;23,Anmeldung!$D$35&lt;&gt;"",Anmeldung!$G$35&lt;&gt;Anmeldung!$G$30,(Anmeldung!$B$35&amp;": "&amp;Anmeldung!$D$35&amp;", "&amp;Anmeldung!$E$35&amp;" / "&amp;Anmeldung!$G$35&amp;" / "&amp;Anmeldung!$J$35)&lt;&gt;Anmeldung!$S$30),Anmeldung!$B$35&amp;": "&amp;Anmeldung!$D$35&amp;", "&amp;Anmeldung!$E$35&amp;" / "&amp;Anmeldung!$G$35&amp;" / "&amp;Anmeldung!$J$35,"")</f>
        <v/>
      </c>
      <c r="CW22" t="str">
        <f>IF(AND(28&lt;&gt;23,Anmeldung!$D$35&lt;&gt;"",(Anmeldung!$B$35&amp;": "&amp;Anmeldung!$D$35&amp;", "&amp;Anmeldung!$E$35&amp;" / "&amp;Anmeldung!$G$35&amp;" / "&amp;Anmeldung!$J$35)&lt;&gt;Anmeldung!$R$30),Anmeldung!$B$35&amp;": "&amp;Anmeldung!$D$35&amp;", "&amp;Anmeldung!$E$35&amp;" / "&amp;Anmeldung!$G$35&amp;" / "&amp;Anmeldung!$J$35,"")</f>
        <v/>
      </c>
      <c r="CX22" t="str">
        <f>IF(AND(27&lt;&gt;22,Anmeldung!$D$35&lt;&gt;"",Anmeldung!$U$35="Ja",Anmeldung!$G$35=Anmeldung!$G$30,Anmeldung!$J$35=Anmeldung!$J$30),Anmeldung!$B$35&amp;": "&amp;Anmeldung!$D$35&amp;", "&amp;Anmeldung!$E$35&amp;" / "&amp;Anmeldung!$G$35&amp;" / "&amp;Anmeldung!$J$35,"")</f>
        <v/>
      </c>
      <c r="DA22" t="str">
        <f>IF(AND(28&lt;&gt;24,Anmeldung!$D$35&lt;&gt;"",Anmeldung!$G$35=Anmeldung!$G$31,Anmeldung!$J$35=Anmeldung!$J$31),Anmeldung!$B$35&amp;": "&amp;Anmeldung!$D$35&amp;", "&amp;Anmeldung!$E$35&amp;" / "&amp;Anmeldung!$G$35&amp;" / "&amp;Anmeldung!$J$35,"")</f>
        <v/>
      </c>
      <c r="DB22" t="str">
        <f>IF(AND(28&lt;&gt;24,Anmeldung!$D$35&lt;&gt;"",Anmeldung!$G$35=Anmeldung!$G$31,Anmeldung!$J$35=Anmeldung!$J$31,(Anmeldung!$B$35&amp;": "&amp;Anmeldung!$D$35&amp;", "&amp;Anmeldung!$E$35&amp;" / "&amp;Anmeldung!$G$35&amp;" / "&amp;Anmeldung!$J$35)&lt;&gt;Anmeldung!$P$31),Anmeldung!$B$35&amp;": "&amp;Anmeldung!$D$35&amp;", "&amp;Anmeldung!$E$35&amp;" / "&amp;Anmeldung!$G$35&amp;" / "&amp;Anmeldung!$J$35,"")</f>
        <v/>
      </c>
      <c r="DC22" t="str">
        <f>IF(AND(28&lt;&gt;24,Anmeldung!$D$35&lt;&gt;"",Anmeldung!$G$35=Anmeldung!$G$31,Anmeldung!$J$35=Anmeldung!$J$31,(Anmeldung!$B$35&amp;": "&amp;Anmeldung!$D$35&amp;", "&amp;Anmeldung!$E$35&amp;" / "&amp;Anmeldung!$G$35&amp;" / "&amp;Anmeldung!$J$35)&lt;&gt;Anmeldung!$O$31),Anmeldung!$B$35&amp;": "&amp;Anmeldung!$D$35&amp;", "&amp;Anmeldung!$E$35&amp;" / "&amp;Anmeldung!$G$35&amp;" / "&amp;Anmeldung!$J$35,"")</f>
        <v/>
      </c>
      <c r="DD22" t="str">
        <f>IF(AND(28&lt;&gt;24,Anmeldung!$D$35&lt;&gt;"",Anmeldung!$G$35&lt;&gt;Anmeldung!$G$31,(Anmeldung!$B$35&amp;": "&amp;Anmeldung!$D$35&amp;", "&amp;Anmeldung!$E$35&amp;" / "&amp;Anmeldung!$G$35&amp;" / "&amp;Anmeldung!$J$35)&lt;&gt;Anmeldung!$S$31),Anmeldung!$B$35&amp;": "&amp;Anmeldung!$D$35&amp;", "&amp;Anmeldung!$E$35&amp;" / "&amp;Anmeldung!$G$35&amp;" / "&amp;Anmeldung!$J$35,"")</f>
        <v/>
      </c>
      <c r="DE22" t="str">
        <f>IF(AND(28&lt;&gt;24,Anmeldung!$D$35&lt;&gt;"",(Anmeldung!$B$35&amp;": "&amp;Anmeldung!$D$35&amp;", "&amp;Anmeldung!$E$35&amp;" / "&amp;Anmeldung!$G$35&amp;" / "&amp;Anmeldung!$J$35)&lt;&gt;Anmeldung!$R$31),Anmeldung!$B$35&amp;": "&amp;Anmeldung!$D$35&amp;", "&amp;Anmeldung!$E$35&amp;" / "&amp;Anmeldung!$G$35&amp;" / "&amp;Anmeldung!$J$35,"")</f>
        <v/>
      </c>
      <c r="DF22" t="str">
        <f>IF(AND(27&lt;&gt;23,Anmeldung!$D$35&lt;&gt;"",Anmeldung!$U$35="Ja",Anmeldung!$G$35=Anmeldung!$G$31,Anmeldung!$J$35=Anmeldung!$J$31),Anmeldung!$B$35&amp;": "&amp;Anmeldung!$D$35&amp;", "&amp;Anmeldung!$E$35&amp;" / "&amp;Anmeldung!$G$35&amp;" / "&amp;Anmeldung!$J$35,"")</f>
        <v/>
      </c>
      <c r="DI22" t="str">
        <f>IF(AND(28&lt;&gt;25,Anmeldung!$D$35&lt;&gt;"",Anmeldung!$G$35=Anmeldung!$G$32,Anmeldung!$J$35=Anmeldung!$J$32),Anmeldung!$B$35&amp;": "&amp;Anmeldung!$D$35&amp;", "&amp;Anmeldung!$E$35&amp;" / "&amp;Anmeldung!$G$35&amp;" / "&amp;Anmeldung!$J$35,"")</f>
        <v/>
      </c>
      <c r="DJ22" t="str">
        <f>IF(AND(28&lt;&gt;25,Anmeldung!$D$35&lt;&gt;"",Anmeldung!$G$35=Anmeldung!$G$32,Anmeldung!$J$35=Anmeldung!$J$32,(Anmeldung!$B$35&amp;": "&amp;Anmeldung!$D$35&amp;", "&amp;Anmeldung!$E$35&amp;" / "&amp;Anmeldung!$G$35&amp;" / "&amp;Anmeldung!$J$35)&lt;&gt;Anmeldung!$P$32),Anmeldung!$B$35&amp;": "&amp;Anmeldung!$D$35&amp;", "&amp;Anmeldung!$E$35&amp;" / "&amp;Anmeldung!$G$35&amp;" / "&amp;Anmeldung!$J$35,"")</f>
        <v/>
      </c>
      <c r="DK22" t="str">
        <f>IF(AND(28&lt;&gt;25,Anmeldung!$D$35&lt;&gt;"",Anmeldung!$G$35=Anmeldung!$G$32,Anmeldung!$J$35=Anmeldung!$J$32,(Anmeldung!$B$35&amp;": "&amp;Anmeldung!$D$35&amp;", "&amp;Anmeldung!$E$35&amp;" / "&amp;Anmeldung!$G$35&amp;" / "&amp;Anmeldung!$J$35)&lt;&gt;Anmeldung!$O$32),Anmeldung!$B$35&amp;": "&amp;Anmeldung!$D$35&amp;", "&amp;Anmeldung!$E$35&amp;" / "&amp;Anmeldung!$G$35&amp;" / "&amp;Anmeldung!$J$35,"")</f>
        <v/>
      </c>
      <c r="DL22" t="str">
        <f>IF(AND(28&lt;&gt;25,Anmeldung!$D$35&lt;&gt;"",Anmeldung!$G$35&lt;&gt;Anmeldung!$G$32,(Anmeldung!$B$35&amp;": "&amp;Anmeldung!$D$35&amp;", "&amp;Anmeldung!$E$35&amp;" / "&amp;Anmeldung!$G$35&amp;" / "&amp;Anmeldung!$J$35)&lt;&gt;Anmeldung!$S$32),Anmeldung!$B$35&amp;": "&amp;Anmeldung!$D$35&amp;", "&amp;Anmeldung!$E$35&amp;" / "&amp;Anmeldung!$G$35&amp;" / "&amp;Anmeldung!$J$35,"")</f>
        <v/>
      </c>
      <c r="DM22" t="str">
        <f>IF(AND(28&lt;&gt;25,Anmeldung!$D$35&lt;&gt;"",(Anmeldung!$B$35&amp;": "&amp;Anmeldung!$D$35&amp;", "&amp;Anmeldung!$E$35&amp;" / "&amp;Anmeldung!$G$35&amp;" / "&amp;Anmeldung!$J$35)&lt;&gt;Anmeldung!$R$32),Anmeldung!$B$35&amp;": "&amp;Anmeldung!$D$35&amp;", "&amp;Anmeldung!$E$35&amp;" / "&amp;Anmeldung!$G$35&amp;" / "&amp;Anmeldung!$J$35,"")</f>
        <v/>
      </c>
      <c r="DN22" t="str">
        <f>IF(AND(27&lt;&gt;24,Anmeldung!$D$35&lt;&gt;"",Anmeldung!$U$35="Ja",Anmeldung!$G$35=Anmeldung!$G$32,Anmeldung!$J$35=Anmeldung!$J$32),Anmeldung!$B$35&amp;": "&amp;Anmeldung!$D$35&amp;", "&amp;Anmeldung!$E$35&amp;" / "&amp;Anmeldung!$G$35&amp;" / "&amp;Anmeldung!$J$35,"")</f>
        <v/>
      </c>
      <c r="DQ22" t="str">
        <f>IF(AND(28&lt;&gt;26,Anmeldung!$D$35&lt;&gt;"",Anmeldung!$G$35=Anmeldung!$G$33,Anmeldung!$J$35=Anmeldung!$J$33),Anmeldung!$B$35&amp;": "&amp;Anmeldung!$D$35&amp;", "&amp;Anmeldung!$E$35&amp;" / "&amp;Anmeldung!$G$35&amp;" / "&amp;Anmeldung!$J$35,"")</f>
        <v/>
      </c>
      <c r="DR22" t="str">
        <f>IF(AND(28&lt;&gt;26,Anmeldung!$D$35&lt;&gt;"",Anmeldung!$G$35=Anmeldung!$G$33,Anmeldung!$J$35=Anmeldung!$J$33,(Anmeldung!$B$35&amp;": "&amp;Anmeldung!$D$35&amp;", "&amp;Anmeldung!$E$35&amp;" / "&amp;Anmeldung!$G$35&amp;" / "&amp;Anmeldung!$J$35)&lt;&gt;Anmeldung!$P$33),Anmeldung!$B$35&amp;": "&amp;Anmeldung!$D$35&amp;", "&amp;Anmeldung!$E$35&amp;" / "&amp;Anmeldung!$G$35&amp;" / "&amp;Anmeldung!$J$35,"")</f>
        <v/>
      </c>
      <c r="DS22" t="str">
        <f>IF(AND(28&lt;&gt;26,Anmeldung!$D$35&lt;&gt;"",Anmeldung!$G$35=Anmeldung!$G$33,Anmeldung!$J$35=Anmeldung!$J$33,(Anmeldung!$B$35&amp;": "&amp;Anmeldung!$D$35&amp;", "&amp;Anmeldung!$E$35&amp;" / "&amp;Anmeldung!$G$35&amp;" / "&amp;Anmeldung!$J$35)&lt;&gt;Anmeldung!$O$33),Anmeldung!$B$35&amp;": "&amp;Anmeldung!$D$35&amp;", "&amp;Anmeldung!$E$35&amp;" / "&amp;Anmeldung!$G$35&amp;" / "&amp;Anmeldung!$J$35,"")</f>
        <v/>
      </c>
      <c r="DT22" t="str">
        <f>IF(AND(28&lt;&gt;26,Anmeldung!$D$35&lt;&gt;"",Anmeldung!$G$35&lt;&gt;Anmeldung!$G$33,(Anmeldung!$B$35&amp;": "&amp;Anmeldung!$D$35&amp;", "&amp;Anmeldung!$E$35&amp;" / "&amp;Anmeldung!$G$35&amp;" / "&amp;Anmeldung!$J$35)&lt;&gt;Anmeldung!$S$33),Anmeldung!$B$35&amp;": "&amp;Anmeldung!$D$35&amp;", "&amp;Anmeldung!$E$35&amp;" / "&amp;Anmeldung!$G$35&amp;" / "&amp;Anmeldung!$J$35,"")</f>
        <v/>
      </c>
      <c r="DU22" t="str">
        <f>IF(AND(28&lt;&gt;26,Anmeldung!$D$35&lt;&gt;"",(Anmeldung!$B$35&amp;": "&amp;Anmeldung!$D$35&amp;", "&amp;Anmeldung!$E$35&amp;" / "&amp;Anmeldung!$G$35&amp;" / "&amp;Anmeldung!$J$35)&lt;&gt;Anmeldung!$R$33),Anmeldung!$B$35&amp;": "&amp;Anmeldung!$D$35&amp;", "&amp;Anmeldung!$E$35&amp;" / "&amp;Anmeldung!$G$35&amp;" / "&amp;Anmeldung!$J$35,"")</f>
        <v/>
      </c>
      <c r="DV22" t="str">
        <f>IF(AND(27&lt;&gt;25,Anmeldung!$D$35&lt;&gt;"",Anmeldung!$U$35="Ja",Anmeldung!$G$35=Anmeldung!$G$33,Anmeldung!$J$35=Anmeldung!$J$33),Anmeldung!$B$35&amp;": "&amp;Anmeldung!$D$35&amp;", "&amp;Anmeldung!$E$35&amp;" / "&amp;Anmeldung!$G$35&amp;" / "&amp;Anmeldung!$J$35,"")</f>
        <v/>
      </c>
      <c r="DY22" t="str">
        <f>IF(AND(28&lt;&gt;27,Anmeldung!$D$35&lt;&gt;"",Anmeldung!$G$35=Anmeldung!$G$34,Anmeldung!$J$35=Anmeldung!$J$34),Anmeldung!$B$35&amp;": "&amp;Anmeldung!$D$35&amp;", "&amp;Anmeldung!$E$35&amp;" / "&amp;Anmeldung!$G$35&amp;" / "&amp;Anmeldung!$J$35,"")</f>
        <v/>
      </c>
      <c r="DZ22" t="str">
        <f>IF(AND(28&lt;&gt;27,Anmeldung!$D$35&lt;&gt;"",Anmeldung!$G$35=Anmeldung!$G$34,Anmeldung!$J$35=Anmeldung!$J$34,(Anmeldung!$B$35&amp;": "&amp;Anmeldung!$D$35&amp;", "&amp;Anmeldung!$E$35&amp;" / "&amp;Anmeldung!$G$35&amp;" / "&amp;Anmeldung!$J$35)&lt;&gt;Anmeldung!$P$34),Anmeldung!$B$35&amp;": "&amp;Anmeldung!$D$35&amp;", "&amp;Anmeldung!$E$35&amp;" / "&amp;Anmeldung!$G$35&amp;" / "&amp;Anmeldung!$J$35,"")</f>
        <v/>
      </c>
      <c r="EA22" t="str">
        <f>IF(AND(28&lt;&gt;27,Anmeldung!$D$35&lt;&gt;"",Anmeldung!$G$35=Anmeldung!$G$34,Anmeldung!$J$35=Anmeldung!$J$34,(Anmeldung!$B$35&amp;": "&amp;Anmeldung!$D$35&amp;", "&amp;Anmeldung!$E$35&amp;" / "&amp;Anmeldung!$G$35&amp;" / "&amp;Anmeldung!$J$35)&lt;&gt;Anmeldung!$O$34),Anmeldung!$B$35&amp;": "&amp;Anmeldung!$D$35&amp;", "&amp;Anmeldung!$E$35&amp;" / "&amp;Anmeldung!$G$35&amp;" / "&amp;Anmeldung!$J$35,"")</f>
        <v/>
      </c>
      <c r="EB22" t="str">
        <f>IF(AND(28&lt;&gt;27,Anmeldung!$D$35&lt;&gt;"",Anmeldung!$G$35&lt;&gt;Anmeldung!$G$34,(Anmeldung!$B$35&amp;": "&amp;Anmeldung!$D$35&amp;", "&amp;Anmeldung!$E$35&amp;" / "&amp;Anmeldung!$G$35&amp;" / "&amp;Anmeldung!$J$35)&lt;&gt;Anmeldung!$S$34),Anmeldung!$B$35&amp;": "&amp;Anmeldung!$D$35&amp;", "&amp;Anmeldung!$E$35&amp;" / "&amp;Anmeldung!$G$35&amp;" / "&amp;Anmeldung!$J$35,"")</f>
        <v/>
      </c>
      <c r="EC22" t="str">
        <f>IF(AND(28&lt;&gt;27,Anmeldung!$D$35&lt;&gt;"",(Anmeldung!$B$35&amp;": "&amp;Anmeldung!$D$35&amp;", "&amp;Anmeldung!$E$35&amp;" / "&amp;Anmeldung!$G$35&amp;" / "&amp;Anmeldung!$J$35)&lt;&gt;Anmeldung!$R$34),Anmeldung!$B$35&amp;": "&amp;Anmeldung!$D$35&amp;", "&amp;Anmeldung!$E$35&amp;" / "&amp;Anmeldung!$G$35&amp;" / "&amp;Anmeldung!$J$35,"")</f>
        <v/>
      </c>
      <c r="ED22" t="str">
        <f>IF(AND(27&lt;&gt;26,Anmeldung!$D$35&lt;&gt;"",Anmeldung!$U$35="Ja",Anmeldung!$G$35=Anmeldung!$G$34,Anmeldung!$J$35=Anmeldung!$J$34),Anmeldung!$B$35&amp;": "&amp;Anmeldung!$D$35&amp;", "&amp;Anmeldung!$E$35&amp;" / "&amp;Anmeldung!$G$35&amp;" / "&amp;Anmeldung!$J$35,"")</f>
        <v/>
      </c>
      <c r="EG22" t="str">
        <f>IF(AND(28&lt;&gt;28,Anmeldung!$D$35&lt;&gt;"",Anmeldung!$G$35=Anmeldung!$G$35,Anmeldung!$J$35=Anmeldung!$J$35),Anmeldung!$B$35&amp;": "&amp;Anmeldung!$D$35&amp;", "&amp;Anmeldung!$E$35&amp;" / "&amp;Anmeldung!$G$35&amp;" / "&amp;Anmeldung!$J$35,"")</f>
        <v/>
      </c>
      <c r="EH22" t="str">
        <f>IF(AND(28&lt;&gt;28,Anmeldung!$D$35&lt;&gt;"",Anmeldung!$G$35=Anmeldung!$G$35,Anmeldung!$J$35=Anmeldung!$J$35,(Anmeldung!$B$35&amp;": "&amp;Anmeldung!$D$35&amp;", "&amp;Anmeldung!$E$35&amp;" / "&amp;Anmeldung!$G$35&amp;" / "&amp;Anmeldung!$J$35)&lt;&gt;Anmeldung!$P$35),Anmeldung!$B$35&amp;": "&amp;Anmeldung!$D$35&amp;", "&amp;Anmeldung!$E$35&amp;" / "&amp;Anmeldung!$G$35&amp;" / "&amp;Anmeldung!$J$35,"")</f>
        <v/>
      </c>
      <c r="EI22" t="str">
        <f>IF(AND(28&lt;&gt;28,Anmeldung!$D$35&lt;&gt;"",Anmeldung!$G$35=Anmeldung!$G$35,Anmeldung!$J$35=Anmeldung!$J$35,(Anmeldung!$B$35&amp;": "&amp;Anmeldung!$D$35&amp;", "&amp;Anmeldung!$E$35&amp;" / "&amp;Anmeldung!$G$35&amp;" / "&amp;Anmeldung!$J$35)&lt;&gt;Anmeldung!$O$35),Anmeldung!$B$35&amp;": "&amp;Anmeldung!$D$35&amp;", "&amp;Anmeldung!$E$35&amp;" / "&amp;Anmeldung!$G$35&amp;" / "&amp;Anmeldung!$J$35,"")</f>
        <v/>
      </c>
      <c r="EJ22" t="str">
        <f>IF(AND(28&lt;&gt;28,Anmeldung!$D$35&lt;&gt;"",Anmeldung!$G$35&lt;&gt;Anmeldung!$G$35,(Anmeldung!$B$35&amp;": "&amp;Anmeldung!$D$35&amp;", "&amp;Anmeldung!$E$35&amp;" / "&amp;Anmeldung!$G$35&amp;" / "&amp;Anmeldung!$J$35)&lt;&gt;Anmeldung!$S$35),Anmeldung!$B$35&amp;": "&amp;Anmeldung!$D$35&amp;", "&amp;Anmeldung!$E$35&amp;" / "&amp;Anmeldung!$G$35&amp;" / "&amp;Anmeldung!$J$35,"")</f>
        <v/>
      </c>
      <c r="EK22" t="str">
        <f>IF(AND(28&lt;&gt;28,Anmeldung!$D$35&lt;&gt;"",(Anmeldung!$B$35&amp;": "&amp;Anmeldung!$D$35&amp;", "&amp;Anmeldung!$E$35&amp;" / "&amp;Anmeldung!$G$35&amp;" / "&amp;Anmeldung!$J$35)&lt;&gt;Anmeldung!$R$35),Anmeldung!$B$35&amp;": "&amp;Anmeldung!$D$35&amp;", "&amp;Anmeldung!$E$35&amp;" / "&amp;Anmeldung!$G$35&amp;" / "&amp;Anmeldung!$J$35,"")</f>
        <v/>
      </c>
      <c r="EL22" t="str">
        <f>IF(AND(27&lt;&gt;27,Anmeldung!$D$35&lt;&gt;"",Anmeldung!$U$35="Ja",Anmeldung!$G$35=Anmeldung!$G$35,Anmeldung!$J$35=Anmeldung!$J$35),Anmeldung!$B$35&amp;": "&amp;Anmeldung!$D$35&amp;", "&amp;Anmeldung!$E$35&amp;" / "&amp;Anmeldung!$G$35&amp;" / "&amp;Anmeldung!$J$35,"")</f>
        <v/>
      </c>
      <c r="EO22" t="str">
        <f>IF(AND(28&lt;&gt;29,Anmeldung!$D$35&lt;&gt;"",Anmeldung!$G$35=Anmeldung!$G$36,Anmeldung!$J$35=Anmeldung!$J$36),Anmeldung!$B$35&amp;": "&amp;Anmeldung!$D$35&amp;", "&amp;Anmeldung!$E$35&amp;" / "&amp;Anmeldung!$G$35&amp;" / "&amp;Anmeldung!$J$35,"")</f>
        <v/>
      </c>
      <c r="EP22" t="str">
        <f>IF(AND(28&lt;&gt;29,Anmeldung!$D$35&lt;&gt;"",Anmeldung!$G$35=Anmeldung!$G$36,Anmeldung!$J$35=Anmeldung!$J$36,(Anmeldung!$B$35&amp;": "&amp;Anmeldung!$D$35&amp;", "&amp;Anmeldung!$E$35&amp;" / "&amp;Anmeldung!$G$35&amp;" / "&amp;Anmeldung!$J$35)&lt;&gt;Anmeldung!$P$36),Anmeldung!$B$35&amp;": "&amp;Anmeldung!$D$35&amp;", "&amp;Anmeldung!$E$35&amp;" / "&amp;Anmeldung!$G$35&amp;" / "&amp;Anmeldung!$J$35,"")</f>
        <v/>
      </c>
      <c r="EQ22" t="str">
        <f>IF(AND(28&lt;&gt;29,Anmeldung!$D$35&lt;&gt;"",Anmeldung!$G$35=Anmeldung!$G$36,Anmeldung!$J$35=Anmeldung!$J$36,(Anmeldung!$B$35&amp;": "&amp;Anmeldung!$D$35&amp;", "&amp;Anmeldung!$E$35&amp;" / "&amp;Anmeldung!$G$35&amp;" / "&amp;Anmeldung!$J$35)&lt;&gt;Anmeldung!$O$36),Anmeldung!$B$35&amp;": "&amp;Anmeldung!$D$35&amp;", "&amp;Anmeldung!$E$35&amp;" / "&amp;Anmeldung!$G$35&amp;" / "&amp;Anmeldung!$J$35,"")</f>
        <v/>
      </c>
      <c r="ER22" t="str">
        <f>IF(AND(28&lt;&gt;29,Anmeldung!$D$35&lt;&gt;"",Anmeldung!$G$35&lt;&gt;Anmeldung!$G$36,(Anmeldung!$B$35&amp;": "&amp;Anmeldung!$D$35&amp;", "&amp;Anmeldung!$E$35&amp;" / "&amp;Anmeldung!$G$35&amp;" / "&amp;Anmeldung!$J$35)&lt;&gt;Anmeldung!$S$36),Anmeldung!$B$35&amp;": "&amp;Anmeldung!$D$35&amp;", "&amp;Anmeldung!$E$35&amp;" / "&amp;Anmeldung!$G$35&amp;" / "&amp;Anmeldung!$J$35,"")</f>
        <v/>
      </c>
      <c r="ES22" t="str">
        <f>IF(AND(28&lt;&gt;29,Anmeldung!$D$35&lt;&gt;"",(Anmeldung!$B$35&amp;": "&amp;Anmeldung!$D$35&amp;", "&amp;Anmeldung!$E$35&amp;" / "&amp;Anmeldung!$G$35&amp;" / "&amp;Anmeldung!$J$35)&lt;&gt;Anmeldung!$R$36),Anmeldung!$B$35&amp;": "&amp;Anmeldung!$D$35&amp;", "&amp;Anmeldung!$E$35&amp;" / "&amp;Anmeldung!$G$35&amp;" / "&amp;Anmeldung!$J$35,"")</f>
        <v/>
      </c>
      <c r="ET22" t="str">
        <f>IF(AND(27&lt;&gt;28,Anmeldung!$D$35&lt;&gt;"",Anmeldung!$U$35="Ja",Anmeldung!$G$35=Anmeldung!$G$36,Anmeldung!$J$35=Anmeldung!$J$36),Anmeldung!$B$35&amp;": "&amp;Anmeldung!$D$35&amp;", "&amp;Anmeldung!$E$35&amp;" / "&amp;Anmeldung!$G$35&amp;" / "&amp;Anmeldung!$J$35,"")</f>
        <v/>
      </c>
      <c r="EW22" t="str">
        <f>IF(AND(28&lt;&gt;30,Anmeldung!$D$35&lt;&gt;"",Anmeldung!$G$35=Anmeldung!$G$37,Anmeldung!$J$35=Anmeldung!$J$37),Anmeldung!$B$35&amp;": "&amp;Anmeldung!$D$35&amp;", "&amp;Anmeldung!$E$35&amp;" / "&amp;Anmeldung!$G$35&amp;" / "&amp;Anmeldung!$J$35,"")</f>
        <v/>
      </c>
      <c r="EX22" t="str">
        <f>IF(AND(28&lt;&gt;30,Anmeldung!$D$35&lt;&gt;"",Anmeldung!$G$35=Anmeldung!$G$37,Anmeldung!$J$35=Anmeldung!$J$37,(Anmeldung!$B$35&amp;": "&amp;Anmeldung!$D$35&amp;", "&amp;Anmeldung!$E$35&amp;" / "&amp;Anmeldung!$G$35&amp;" / "&amp;Anmeldung!$J$35)&lt;&gt;Anmeldung!$P$37),Anmeldung!$B$35&amp;": "&amp;Anmeldung!$D$35&amp;", "&amp;Anmeldung!$E$35&amp;" / "&amp;Anmeldung!$G$35&amp;" / "&amp;Anmeldung!$J$35,"")</f>
        <v/>
      </c>
      <c r="EY22" t="str">
        <f>IF(AND(28&lt;&gt;30,Anmeldung!$D$35&lt;&gt;"",Anmeldung!$G$35=Anmeldung!$G$37,Anmeldung!$J$35=Anmeldung!$J$37,(Anmeldung!$B$35&amp;": "&amp;Anmeldung!$D$35&amp;", "&amp;Anmeldung!$E$35&amp;" / "&amp;Anmeldung!$G$35&amp;" / "&amp;Anmeldung!$J$35)&lt;&gt;Anmeldung!$O$37),Anmeldung!$B$35&amp;": "&amp;Anmeldung!$D$35&amp;", "&amp;Anmeldung!$E$35&amp;" / "&amp;Anmeldung!$G$35&amp;" / "&amp;Anmeldung!$J$35,"")</f>
        <v/>
      </c>
      <c r="EZ22" t="str">
        <f>IF(AND(28&lt;&gt;30,Anmeldung!$D$35&lt;&gt;"",Anmeldung!$G$35&lt;&gt;Anmeldung!$G$37,(Anmeldung!$B$35&amp;": "&amp;Anmeldung!$D$35&amp;", "&amp;Anmeldung!$E$35&amp;" / "&amp;Anmeldung!$G$35&amp;" / "&amp;Anmeldung!$J$35)&lt;&gt;Anmeldung!$S$37),Anmeldung!$B$35&amp;": "&amp;Anmeldung!$D$35&amp;", "&amp;Anmeldung!$E$35&amp;" / "&amp;Anmeldung!$G$35&amp;" / "&amp;Anmeldung!$J$35,"")</f>
        <v/>
      </c>
      <c r="FA22" t="str">
        <f>IF(AND(28&lt;&gt;30,Anmeldung!$D$35&lt;&gt;"",(Anmeldung!$B$35&amp;": "&amp;Anmeldung!$D$35&amp;", "&amp;Anmeldung!$E$35&amp;" / "&amp;Anmeldung!$G$35&amp;" / "&amp;Anmeldung!$J$35)&lt;&gt;Anmeldung!$R$37),Anmeldung!$B$35&amp;": "&amp;Anmeldung!$D$35&amp;", "&amp;Anmeldung!$E$35&amp;" / "&amp;Anmeldung!$G$35&amp;" / "&amp;Anmeldung!$J$35,"")</f>
        <v/>
      </c>
      <c r="FB22" t="str">
        <f>IF(AND(27&lt;&gt;29,Anmeldung!$D$35&lt;&gt;"",Anmeldung!$U$35="Ja",Anmeldung!$G$35=Anmeldung!$G$37,Anmeldung!$J$35=Anmeldung!$J$37),Anmeldung!$B$35&amp;": "&amp;Anmeldung!$D$35&amp;", "&amp;Anmeldung!$E$35&amp;" / "&amp;Anmeldung!$G$35&amp;" / "&amp;Anmeldung!$J$35,"")</f>
        <v/>
      </c>
      <c r="FE22" t="str">
        <f>IF(AND(28&lt;&gt;31,Anmeldung!$D$35&lt;&gt;"",Anmeldung!$G$35=Anmeldung!$G$38,Anmeldung!$J$35=Anmeldung!$J$38),Anmeldung!$B$35&amp;": "&amp;Anmeldung!$D$35&amp;", "&amp;Anmeldung!$E$35&amp;" / "&amp;Anmeldung!$G$35&amp;" / "&amp;Anmeldung!$J$35,"")</f>
        <v/>
      </c>
      <c r="FF22" t="str">
        <f>IF(AND(28&lt;&gt;31,Anmeldung!$D$35&lt;&gt;"",Anmeldung!$G$35=Anmeldung!$G$38,Anmeldung!$J$35=Anmeldung!$J$38,(Anmeldung!$B$35&amp;": "&amp;Anmeldung!$D$35&amp;", "&amp;Anmeldung!$E$35&amp;" / "&amp;Anmeldung!$G$35&amp;" / "&amp;Anmeldung!$J$35)&lt;&gt;Anmeldung!$P$38),Anmeldung!$B$35&amp;": "&amp;Anmeldung!$D$35&amp;", "&amp;Anmeldung!$E$35&amp;" / "&amp;Anmeldung!$G$35&amp;" / "&amp;Anmeldung!$J$35,"")</f>
        <v/>
      </c>
      <c r="FG22" t="str">
        <f>IF(AND(28&lt;&gt;31,Anmeldung!$D$35&lt;&gt;"",Anmeldung!$G$35=Anmeldung!$G$38,Anmeldung!$J$35=Anmeldung!$J$38,(Anmeldung!$B$35&amp;": "&amp;Anmeldung!$D$35&amp;", "&amp;Anmeldung!$E$35&amp;" / "&amp;Anmeldung!$G$35&amp;" / "&amp;Anmeldung!$J$35)&lt;&gt;Anmeldung!$O$38),Anmeldung!$B$35&amp;": "&amp;Anmeldung!$D$35&amp;", "&amp;Anmeldung!$E$35&amp;" / "&amp;Anmeldung!$G$35&amp;" / "&amp;Anmeldung!$J$35,"")</f>
        <v/>
      </c>
      <c r="FH22" t="str">
        <f>IF(AND(28&lt;&gt;31,Anmeldung!$D$35&lt;&gt;"",Anmeldung!$G$35&lt;&gt;Anmeldung!$G$38,(Anmeldung!$B$35&amp;": "&amp;Anmeldung!$D$35&amp;", "&amp;Anmeldung!$E$35&amp;" / "&amp;Anmeldung!$G$35&amp;" / "&amp;Anmeldung!$J$35)&lt;&gt;Anmeldung!$S$38),Anmeldung!$B$35&amp;": "&amp;Anmeldung!$D$35&amp;", "&amp;Anmeldung!$E$35&amp;" / "&amp;Anmeldung!$G$35&amp;" / "&amp;Anmeldung!$J$35,"")</f>
        <v/>
      </c>
      <c r="FI22" t="str">
        <f>IF(AND(28&lt;&gt;31,Anmeldung!$D$35&lt;&gt;"",(Anmeldung!$B$35&amp;": "&amp;Anmeldung!$D$35&amp;", "&amp;Anmeldung!$E$35&amp;" / "&amp;Anmeldung!$G$35&amp;" / "&amp;Anmeldung!$J$35)&lt;&gt;Anmeldung!$R$38),Anmeldung!$B$35&amp;": "&amp;Anmeldung!$D$35&amp;", "&amp;Anmeldung!$E$35&amp;" / "&amp;Anmeldung!$G$35&amp;" / "&amp;Anmeldung!$J$35,"")</f>
        <v/>
      </c>
      <c r="FJ22" t="str">
        <f>IF(AND(27&lt;&gt;30,Anmeldung!$D$35&lt;&gt;"",Anmeldung!$U$35="Ja",Anmeldung!$G$35=Anmeldung!$G$38,Anmeldung!$J$35=Anmeldung!$J$38),Anmeldung!$B$35&amp;": "&amp;Anmeldung!$D$35&amp;", "&amp;Anmeldung!$E$35&amp;" / "&amp;Anmeldung!$G$35&amp;" / "&amp;Anmeldung!$J$35,"")</f>
        <v/>
      </c>
      <c r="FM22" t="str">
        <f>IF(AND(28&lt;&gt;32,Anmeldung!$D$35&lt;&gt;"",Anmeldung!$G$35=Anmeldung!$G$39,Anmeldung!$J$35=Anmeldung!$J$39),Anmeldung!$B$35&amp;": "&amp;Anmeldung!$D$35&amp;", "&amp;Anmeldung!$E$35&amp;" / "&amp;Anmeldung!$G$35&amp;" / "&amp;Anmeldung!$J$35,"")</f>
        <v/>
      </c>
      <c r="FN22" t="str">
        <f>IF(AND(28&lt;&gt;32,Anmeldung!$D$35&lt;&gt;"",Anmeldung!$G$35=Anmeldung!$G$39,Anmeldung!$J$35=Anmeldung!$J$39,(Anmeldung!$B$35&amp;": "&amp;Anmeldung!$D$35&amp;", "&amp;Anmeldung!$E$35&amp;" / "&amp;Anmeldung!$G$35&amp;" / "&amp;Anmeldung!$J$35)&lt;&gt;Anmeldung!$P$39),Anmeldung!$B$35&amp;": "&amp;Anmeldung!$D$35&amp;", "&amp;Anmeldung!$E$35&amp;" / "&amp;Anmeldung!$G$35&amp;" / "&amp;Anmeldung!$J$35,"")</f>
        <v/>
      </c>
      <c r="FO22" t="str">
        <f>IF(AND(28&lt;&gt;32,Anmeldung!$D$35&lt;&gt;"",Anmeldung!$G$35=Anmeldung!$G$39,Anmeldung!$J$35=Anmeldung!$J$39,(Anmeldung!$B$35&amp;": "&amp;Anmeldung!$D$35&amp;", "&amp;Anmeldung!$E$35&amp;" / "&amp;Anmeldung!$G$35&amp;" / "&amp;Anmeldung!$J$35)&lt;&gt;Anmeldung!$O$39),Anmeldung!$B$35&amp;": "&amp;Anmeldung!$D$35&amp;", "&amp;Anmeldung!$E$35&amp;" / "&amp;Anmeldung!$G$35&amp;" / "&amp;Anmeldung!$J$35,"")</f>
        <v/>
      </c>
      <c r="FP22" t="str">
        <f>IF(AND(28&lt;&gt;32,Anmeldung!$D$35&lt;&gt;"",Anmeldung!$G$35&lt;&gt;Anmeldung!$G$39,(Anmeldung!$B$35&amp;": "&amp;Anmeldung!$D$35&amp;", "&amp;Anmeldung!$E$35&amp;" / "&amp;Anmeldung!$G$35&amp;" / "&amp;Anmeldung!$J$35)&lt;&gt;Anmeldung!$S$39),Anmeldung!$B$35&amp;": "&amp;Anmeldung!$D$35&amp;", "&amp;Anmeldung!$E$35&amp;" / "&amp;Anmeldung!$G$35&amp;" / "&amp;Anmeldung!$J$35,"")</f>
        <v/>
      </c>
      <c r="FQ22" t="str">
        <f>IF(AND(28&lt;&gt;32,Anmeldung!$D$35&lt;&gt;"",(Anmeldung!$B$35&amp;": "&amp;Anmeldung!$D$35&amp;", "&amp;Anmeldung!$E$35&amp;" / "&amp;Anmeldung!$G$35&amp;" / "&amp;Anmeldung!$J$35)&lt;&gt;Anmeldung!$R$39),Anmeldung!$B$35&amp;": "&amp;Anmeldung!$D$35&amp;", "&amp;Anmeldung!$E$35&amp;" / "&amp;Anmeldung!$G$35&amp;" / "&amp;Anmeldung!$J$35,"")</f>
        <v/>
      </c>
      <c r="FR22" t="str">
        <f>IF(AND(27&lt;&gt;31,Anmeldung!$D$35&lt;&gt;"",Anmeldung!$U$35="Ja",Anmeldung!$G$35=Anmeldung!$G$39,Anmeldung!$J$35=Anmeldung!$J$39),Anmeldung!$B$35&amp;": "&amp;Anmeldung!$D$35&amp;", "&amp;Anmeldung!$E$35&amp;" / "&amp;Anmeldung!$G$35&amp;" / "&amp;Anmeldung!$J$35,"")</f>
        <v/>
      </c>
      <c r="FU22" t="str">
        <f>IF(AND(28&lt;&gt;33,Anmeldung!$D$35&lt;&gt;"",Anmeldung!$G$35=Anmeldung!$G$40,Anmeldung!$J$35=Anmeldung!$J$40),Anmeldung!$B$35&amp;": "&amp;Anmeldung!$D$35&amp;", "&amp;Anmeldung!$E$35&amp;" / "&amp;Anmeldung!$G$35&amp;" / "&amp;Anmeldung!$J$35,"")</f>
        <v/>
      </c>
      <c r="FV22" t="str">
        <f>IF(AND(28&lt;&gt;33,Anmeldung!$D$35&lt;&gt;"",Anmeldung!$G$35=Anmeldung!$G$40,Anmeldung!$J$35=Anmeldung!$J$40,(Anmeldung!$B$35&amp;": "&amp;Anmeldung!$D$35&amp;", "&amp;Anmeldung!$E$35&amp;" / "&amp;Anmeldung!$G$35&amp;" / "&amp;Anmeldung!$J$35)&lt;&gt;Anmeldung!$P$40),Anmeldung!$B$35&amp;": "&amp;Anmeldung!$D$35&amp;", "&amp;Anmeldung!$E$35&amp;" / "&amp;Anmeldung!$G$35&amp;" / "&amp;Anmeldung!$J$35,"")</f>
        <v/>
      </c>
      <c r="FW22" t="str">
        <f>IF(AND(28&lt;&gt;33,Anmeldung!$D$35&lt;&gt;"",Anmeldung!$G$35=Anmeldung!$G$40,Anmeldung!$J$35=Anmeldung!$J$40,(Anmeldung!$B$35&amp;": "&amp;Anmeldung!$D$35&amp;", "&amp;Anmeldung!$E$35&amp;" / "&amp;Anmeldung!$G$35&amp;" / "&amp;Anmeldung!$J$35)&lt;&gt;Anmeldung!$O$40),Anmeldung!$B$35&amp;": "&amp;Anmeldung!$D$35&amp;", "&amp;Anmeldung!$E$35&amp;" / "&amp;Anmeldung!$G$35&amp;" / "&amp;Anmeldung!$J$35,"")</f>
        <v/>
      </c>
      <c r="FX22" t="str">
        <f>IF(AND(28&lt;&gt;33,Anmeldung!$D$35&lt;&gt;"",Anmeldung!$G$35&lt;&gt;Anmeldung!$G$40,(Anmeldung!$B$35&amp;": "&amp;Anmeldung!$D$35&amp;", "&amp;Anmeldung!$E$35&amp;" / "&amp;Anmeldung!$G$35&amp;" / "&amp;Anmeldung!$J$35)&lt;&gt;Anmeldung!$S$40),Anmeldung!$B$35&amp;": "&amp;Anmeldung!$D$35&amp;", "&amp;Anmeldung!$E$35&amp;" / "&amp;Anmeldung!$G$35&amp;" / "&amp;Anmeldung!$J$35,"")</f>
        <v/>
      </c>
      <c r="FY22" t="str">
        <f>IF(AND(28&lt;&gt;33,Anmeldung!$D$35&lt;&gt;"",(Anmeldung!$B$35&amp;": "&amp;Anmeldung!$D$35&amp;", "&amp;Anmeldung!$E$35&amp;" / "&amp;Anmeldung!$G$35&amp;" / "&amp;Anmeldung!$J$35)&lt;&gt;Anmeldung!$R$40),Anmeldung!$B$35&amp;": "&amp;Anmeldung!$D$35&amp;", "&amp;Anmeldung!$E$35&amp;" / "&amp;Anmeldung!$G$35&amp;" / "&amp;Anmeldung!$J$35,"")</f>
        <v/>
      </c>
      <c r="FZ22" t="str">
        <f>IF(AND(27&lt;&gt;32,Anmeldung!$D$35&lt;&gt;"",Anmeldung!$U$35="Ja",Anmeldung!$G$35=Anmeldung!$G$40,Anmeldung!$J$35=Anmeldung!$J$40),Anmeldung!$B$35&amp;": "&amp;Anmeldung!$D$35&amp;", "&amp;Anmeldung!$E$35&amp;" / "&amp;Anmeldung!$G$35&amp;" / "&amp;Anmeldung!$J$35,"")</f>
        <v/>
      </c>
      <c r="GC22" t="str">
        <f>IF(AND(28&lt;&gt;34,Anmeldung!$D$35&lt;&gt;"",Anmeldung!$G$35=Anmeldung!$G$41,Anmeldung!$J$35=Anmeldung!$J$41),Anmeldung!$B$35&amp;": "&amp;Anmeldung!$D$35&amp;", "&amp;Anmeldung!$E$35&amp;" / "&amp;Anmeldung!$G$35&amp;" / "&amp;Anmeldung!$J$35,"")</f>
        <v/>
      </c>
      <c r="GD22" t="str">
        <f>IF(AND(28&lt;&gt;34,Anmeldung!$D$35&lt;&gt;"",Anmeldung!$G$35=Anmeldung!$G$41,Anmeldung!$J$35=Anmeldung!$J$41,(Anmeldung!$B$35&amp;": "&amp;Anmeldung!$D$35&amp;", "&amp;Anmeldung!$E$35&amp;" / "&amp;Anmeldung!$G$35&amp;" / "&amp;Anmeldung!$J$35)&lt;&gt;Anmeldung!$P$41),Anmeldung!$B$35&amp;": "&amp;Anmeldung!$D$35&amp;", "&amp;Anmeldung!$E$35&amp;" / "&amp;Anmeldung!$G$35&amp;" / "&amp;Anmeldung!$J$35,"")</f>
        <v/>
      </c>
      <c r="GE22" t="str">
        <f>IF(AND(28&lt;&gt;34,Anmeldung!$D$35&lt;&gt;"",Anmeldung!$G$35=Anmeldung!$G$41,Anmeldung!$J$35=Anmeldung!$J$41,(Anmeldung!$B$35&amp;": "&amp;Anmeldung!$D$35&amp;", "&amp;Anmeldung!$E$35&amp;" / "&amp;Anmeldung!$G$35&amp;" / "&amp;Anmeldung!$J$35)&lt;&gt;Anmeldung!$O$41),Anmeldung!$B$35&amp;": "&amp;Anmeldung!$D$35&amp;", "&amp;Anmeldung!$E$35&amp;" / "&amp;Anmeldung!$G$35&amp;" / "&amp;Anmeldung!$J$35,"")</f>
        <v/>
      </c>
      <c r="GF22" t="str">
        <f>IF(AND(28&lt;&gt;34,Anmeldung!$D$35&lt;&gt;"",Anmeldung!$G$35&lt;&gt;Anmeldung!$G$41,(Anmeldung!$B$35&amp;": "&amp;Anmeldung!$D$35&amp;", "&amp;Anmeldung!$E$35&amp;" / "&amp;Anmeldung!$G$35&amp;" / "&amp;Anmeldung!$J$35)&lt;&gt;Anmeldung!$S$41),Anmeldung!$B$35&amp;": "&amp;Anmeldung!$D$35&amp;", "&amp;Anmeldung!$E$35&amp;" / "&amp;Anmeldung!$G$35&amp;" / "&amp;Anmeldung!$J$35,"")</f>
        <v/>
      </c>
      <c r="GG22" t="str">
        <f>IF(AND(28&lt;&gt;34,Anmeldung!$D$35&lt;&gt;"",(Anmeldung!$B$35&amp;": "&amp;Anmeldung!$D$35&amp;", "&amp;Anmeldung!$E$35&amp;" / "&amp;Anmeldung!$G$35&amp;" / "&amp;Anmeldung!$J$35)&lt;&gt;Anmeldung!$R$41),Anmeldung!$B$35&amp;": "&amp;Anmeldung!$D$35&amp;", "&amp;Anmeldung!$E$35&amp;" / "&amp;Anmeldung!$G$35&amp;" / "&amp;Anmeldung!$J$35,"")</f>
        <v/>
      </c>
      <c r="GH22" t="str">
        <f>IF(AND(27&lt;&gt;33,Anmeldung!$D$35&lt;&gt;"",Anmeldung!$U$35="Ja",Anmeldung!$G$35=Anmeldung!$G$41,Anmeldung!$J$35=Anmeldung!$J$41),Anmeldung!$B$35&amp;": "&amp;Anmeldung!$D$35&amp;", "&amp;Anmeldung!$E$35&amp;" / "&amp;Anmeldung!$G$35&amp;" / "&amp;Anmeldung!$J$35,"")</f>
        <v/>
      </c>
      <c r="GK22" t="str">
        <f>IF(AND(28&lt;&gt;35,Anmeldung!$D$35&lt;&gt;"",Anmeldung!$G$35=Anmeldung!$G$42,Anmeldung!$J$35=Anmeldung!$J$42),Anmeldung!$B$35&amp;": "&amp;Anmeldung!$D$35&amp;", "&amp;Anmeldung!$E$35&amp;" / "&amp;Anmeldung!$G$35&amp;" / "&amp;Anmeldung!$J$35,"")</f>
        <v/>
      </c>
      <c r="GL22" t="str">
        <f>IF(AND(28&lt;&gt;35,Anmeldung!$D$35&lt;&gt;"",Anmeldung!$G$35=Anmeldung!$G$42,Anmeldung!$J$35=Anmeldung!$J$42,(Anmeldung!$B$35&amp;": "&amp;Anmeldung!$D$35&amp;", "&amp;Anmeldung!$E$35&amp;" / "&amp;Anmeldung!$G$35&amp;" / "&amp;Anmeldung!$J$35)&lt;&gt;Anmeldung!$P$42),Anmeldung!$B$35&amp;": "&amp;Anmeldung!$D$35&amp;", "&amp;Anmeldung!$E$35&amp;" / "&amp;Anmeldung!$G$35&amp;" / "&amp;Anmeldung!$J$35,"")</f>
        <v/>
      </c>
      <c r="GM22" t="str">
        <f>IF(AND(28&lt;&gt;35,Anmeldung!$D$35&lt;&gt;"",Anmeldung!$G$35=Anmeldung!$G$42,Anmeldung!$J$35=Anmeldung!$J$42,(Anmeldung!$B$35&amp;": "&amp;Anmeldung!$D$35&amp;", "&amp;Anmeldung!$E$35&amp;" / "&amp;Anmeldung!$G$35&amp;" / "&amp;Anmeldung!$J$35)&lt;&gt;Anmeldung!$O$42),Anmeldung!$B$35&amp;": "&amp;Anmeldung!$D$35&amp;", "&amp;Anmeldung!$E$35&amp;" / "&amp;Anmeldung!$G$35&amp;" / "&amp;Anmeldung!$J$35,"")</f>
        <v/>
      </c>
      <c r="GN22" t="str">
        <f>IF(AND(28&lt;&gt;35,Anmeldung!$D$35&lt;&gt;"",Anmeldung!$G$35&lt;&gt;Anmeldung!$G$42,(Anmeldung!$B$35&amp;": "&amp;Anmeldung!$D$35&amp;", "&amp;Anmeldung!$E$35&amp;" / "&amp;Anmeldung!$G$35&amp;" / "&amp;Anmeldung!$J$35)&lt;&gt;Anmeldung!$S$42),Anmeldung!$B$35&amp;": "&amp;Anmeldung!$D$35&amp;", "&amp;Anmeldung!$E$35&amp;" / "&amp;Anmeldung!$G$35&amp;" / "&amp;Anmeldung!$J$35,"")</f>
        <v/>
      </c>
      <c r="GO22" t="str">
        <f>IF(AND(28&lt;&gt;35,Anmeldung!$D$35&lt;&gt;"",(Anmeldung!$B$35&amp;": "&amp;Anmeldung!$D$35&amp;", "&amp;Anmeldung!$E$35&amp;" / "&amp;Anmeldung!$G$35&amp;" / "&amp;Anmeldung!$J$35)&lt;&gt;Anmeldung!$R$42),Anmeldung!$B$35&amp;": "&amp;Anmeldung!$D$35&amp;", "&amp;Anmeldung!$E$35&amp;" / "&amp;Anmeldung!$G$35&amp;" / "&amp;Anmeldung!$J$35,"")</f>
        <v/>
      </c>
      <c r="GP22" t="str">
        <f>IF(AND(27&lt;&gt;34,Anmeldung!$D$35&lt;&gt;"",Anmeldung!$U$35="Ja",Anmeldung!$G$35=Anmeldung!$G$42,Anmeldung!$J$35=Anmeldung!$J$42),Anmeldung!$B$35&amp;": "&amp;Anmeldung!$D$35&amp;", "&amp;Anmeldung!$E$35&amp;" / "&amp;Anmeldung!$G$35&amp;" / "&amp;Anmeldung!$J$35,"")</f>
        <v/>
      </c>
      <c r="GS22" t="str">
        <f>IF(AND(28&lt;&gt;36,Anmeldung!$D$35&lt;&gt;"",Anmeldung!$G$35=Anmeldung!$G$43,Anmeldung!$J$35=Anmeldung!$J$43),Anmeldung!$B$35&amp;": "&amp;Anmeldung!$D$35&amp;", "&amp;Anmeldung!$E$35&amp;" / "&amp;Anmeldung!$G$35&amp;" / "&amp;Anmeldung!$J$35,"")</f>
        <v/>
      </c>
      <c r="GT22" t="str">
        <f>IF(AND(28&lt;&gt;36,Anmeldung!$D$35&lt;&gt;"",Anmeldung!$G$35=Anmeldung!$G$43,Anmeldung!$J$35=Anmeldung!$J$43,(Anmeldung!$B$35&amp;": "&amp;Anmeldung!$D$35&amp;", "&amp;Anmeldung!$E$35&amp;" / "&amp;Anmeldung!$G$35&amp;" / "&amp;Anmeldung!$J$35)&lt;&gt;Anmeldung!$P$43),Anmeldung!$B$35&amp;": "&amp;Anmeldung!$D$35&amp;", "&amp;Anmeldung!$E$35&amp;" / "&amp;Anmeldung!$G$35&amp;" / "&amp;Anmeldung!$J$35,"")</f>
        <v/>
      </c>
      <c r="GU22" t="str">
        <f>IF(AND(28&lt;&gt;36,Anmeldung!$D$35&lt;&gt;"",Anmeldung!$G$35=Anmeldung!$G$43,Anmeldung!$J$35=Anmeldung!$J$43,(Anmeldung!$B$35&amp;": "&amp;Anmeldung!$D$35&amp;", "&amp;Anmeldung!$E$35&amp;" / "&amp;Anmeldung!$G$35&amp;" / "&amp;Anmeldung!$J$35)&lt;&gt;Anmeldung!$O$43),Anmeldung!$B$35&amp;": "&amp;Anmeldung!$D$35&amp;", "&amp;Anmeldung!$E$35&amp;" / "&amp;Anmeldung!$G$35&amp;" / "&amp;Anmeldung!$J$35,"")</f>
        <v/>
      </c>
      <c r="GV22" t="str">
        <f>IF(AND(28&lt;&gt;36,Anmeldung!$D$35&lt;&gt;"",Anmeldung!$G$35&lt;&gt;Anmeldung!$G$43,(Anmeldung!$B$35&amp;": "&amp;Anmeldung!$D$35&amp;", "&amp;Anmeldung!$E$35&amp;" / "&amp;Anmeldung!$G$35&amp;" / "&amp;Anmeldung!$J$35)&lt;&gt;Anmeldung!$S$43),Anmeldung!$B$35&amp;": "&amp;Anmeldung!$D$35&amp;", "&amp;Anmeldung!$E$35&amp;" / "&amp;Anmeldung!$G$35&amp;" / "&amp;Anmeldung!$J$35,"")</f>
        <v/>
      </c>
      <c r="GW22" t="str">
        <f>IF(AND(28&lt;&gt;36,Anmeldung!$D$35&lt;&gt;"",(Anmeldung!$B$35&amp;": "&amp;Anmeldung!$D$35&amp;", "&amp;Anmeldung!$E$35&amp;" / "&amp;Anmeldung!$G$35&amp;" / "&amp;Anmeldung!$J$35)&lt;&gt;Anmeldung!$R$43),Anmeldung!$B$35&amp;": "&amp;Anmeldung!$D$35&amp;", "&amp;Anmeldung!$E$35&amp;" / "&amp;Anmeldung!$G$35&amp;" / "&amp;Anmeldung!$J$35,"")</f>
        <v/>
      </c>
      <c r="GX22" t="str">
        <f>IF(AND(27&lt;&gt;35,Anmeldung!$D$35&lt;&gt;"",Anmeldung!$U$35="Ja",Anmeldung!$G$35=Anmeldung!$G$43,Anmeldung!$J$35=Anmeldung!$J$43),Anmeldung!$B$35&amp;": "&amp;Anmeldung!$D$35&amp;", "&amp;Anmeldung!$E$35&amp;" / "&amp;Anmeldung!$G$35&amp;" / "&amp;Anmeldung!$J$35,"")</f>
        <v/>
      </c>
      <c r="HA22" t="str">
        <f>IF(AND(28&lt;&gt;37,Anmeldung!$D$35&lt;&gt;"",Anmeldung!$G$35=Anmeldung!$G$44,Anmeldung!$J$35=Anmeldung!$J$44),Anmeldung!$B$35&amp;": "&amp;Anmeldung!$D$35&amp;", "&amp;Anmeldung!$E$35&amp;" / "&amp;Anmeldung!$G$35&amp;" / "&amp;Anmeldung!$J$35,"")</f>
        <v/>
      </c>
      <c r="HB22" t="str">
        <f>IF(AND(28&lt;&gt;37,Anmeldung!$D$35&lt;&gt;"",Anmeldung!$G$35=Anmeldung!$G$44,Anmeldung!$J$35=Anmeldung!$J$44,(Anmeldung!$B$35&amp;": "&amp;Anmeldung!$D$35&amp;", "&amp;Anmeldung!$E$35&amp;" / "&amp;Anmeldung!$G$35&amp;" / "&amp;Anmeldung!$J$35)&lt;&gt;Anmeldung!$P$44),Anmeldung!$B$35&amp;": "&amp;Anmeldung!$D$35&amp;", "&amp;Anmeldung!$E$35&amp;" / "&amp;Anmeldung!$G$35&amp;" / "&amp;Anmeldung!$J$35,"")</f>
        <v/>
      </c>
      <c r="HC22" t="str">
        <f>IF(AND(28&lt;&gt;37,Anmeldung!$D$35&lt;&gt;"",Anmeldung!$G$35=Anmeldung!$G$44,Anmeldung!$J$35=Anmeldung!$J$44,(Anmeldung!$B$35&amp;": "&amp;Anmeldung!$D$35&amp;", "&amp;Anmeldung!$E$35&amp;" / "&amp;Anmeldung!$G$35&amp;" / "&amp;Anmeldung!$J$35)&lt;&gt;Anmeldung!$O$44),Anmeldung!$B$35&amp;": "&amp;Anmeldung!$D$35&amp;", "&amp;Anmeldung!$E$35&amp;" / "&amp;Anmeldung!$G$35&amp;" / "&amp;Anmeldung!$J$35,"")</f>
        <v/>
      </c>
      <c r="HD22" t="str">
        <f>IF(AND(28&lt;&gt;37,Anmeldung!$D$35&lt;&gt;"",Anmeldung!$G$35&lt;&gt;Anmeldung!$G$44,(Anmeldung!$B$35&amp;": "&amp;Anmeldung!$D$35&amp;", "&amp;Anmeldung!$E$35&amp;" / "&amp;Anmeldung!$G$35&amp;" / "&amp;Anmeldung!$J$35)&lt;&gt;Anmeldung!$S$44),Anmeldung!$B$35&amp;": "&amp;Anmeldung!$D$35&amp;", "&amp;Anmeldung!$E$35&amp;" / "&amp;Anmeldung!$G$35&amp;" / "&amp;Anmeldung!$J$35,"")</f>
        <v/>
      </c>
      <c r="HE22" t="str">
        <f>IF(AND(28&lt;&gt;37,Anmeldung!$D$35&lt;&gt;"",(Anmeldung!$B$35&amp;": "&amp;Anmeldung!$D$35&amp;", "&amp;Anmeldung!$E$35&amp;" / "&amp;Anmeldung!$G$35&amp;" / "&amp;Anmeldung!$J$35)&lt;&gt;Anmeldung!$R$44),Anmeldung!$B$35&amp;": "&amp;Anmeldung!$D$35&amp;", "&amp;Anmeldung!$E$35&amp;" / "&amp;Anmeldung!$G$35&amp;" / "&amp;Anmeldung!$J$35,"")</f>
        <v/>
      </c>
      <c r="HF22" t="str">
        <f>IF(AND(27&lt;&gt;36,Anmeldung!$D$35&lt;&gt;"",Anmeldung!$U$35="Ja",Anmeldung!$G$35=Anmeldung!$G$44,Anmeldung!$J$35=Anmeldung!$J$44),Anmeldung!$B$35&amp;": "&amp;Anmeldung!$D$35&amp;", "&amp;Anmeldung!$E$35&amp;" / "&amp;Anmeldung!$G$35&amp;" / "&amp;Anmeldung!$J$35,"")</f>
        <v/>
      </c>
      <c r="HI22" t="str">
        <f>IF(AND(28&lt;&gt;38,Anmeldung!$D$35&lt;&gt;"",Anmeldung!$G$35=Anmeldung!$G$45,Anmeldung!$J$35=Anmeldung!$J$45),Anmeldung!$B$35&amp;": "&amp;Anmeldung!$D$35&amp;", "&amp;Anmeldung!$E$35&amp;" / "&amp;Anmeldung!$G$35&amp;" / "&amp;Anmeldung!$J$35,"")</f>
        <v/>
      </c>
      <c r="HJ22" t="str">
        <f>IF(AND(28&lt;&gt;38,Anmeldung!$D$35&lt;&gt;"",Anmeldung!$G$35=Anmeldung!$G$45,Anmeldung!$J$35=Anmeldung!$J$45,(Anmeldung!$B$35&amp;": "&amp;Anmeldung!$D$35&amp;", "&amp;Anmeldung!$E$35&amp;" / "&amp;Anmeldung!$G$35&amp;" / "&amp;Anmeldung!$J$35)&lt;&gt;Anmeldung!$P$45),Anmeldung!$B$35&amp;": "&amp;Anmeldung!$D$35&amp;", "&amp;Anmeldung!$E$35&amp;" / "&amp;Anmeldung!$G$35&amp;" / "&amp;Anmeldung!$J$35,"")</f>
        <v/>
      </c>
      <c r="HK22" t="str">
        <f>IF(AND(28&lt;&gt;38,Anmeldung!$D$35&lt;&gt;"",Anmeldung!$G$35=Anmeldung!$G$45,Anmeldung!$J$35=Anmeldung!$J$45,(Anmeldung!$B$35&amp;": "&amp;Anmeldung!$D$35&amp;", "&amp;Anmeldung!$E$35&amp;" / "&amp;Anmeldung!$G$35&amp;" / "&amp;Anmeldung!$J$35)&lt;&gt;Anmeldung!$O$45),Anmeldung!$B$35&amp;": "&amp;Anmeldung!$D$35&amp;", "&amp;Anmeldung!$E$35&amp;" / "&amp;Anmeldung!$G$35&amp;" / "&amp;Anmeldung!$J$35,"")</f>
        <v/>
      </c>
      <c r="HL22" t="str">
        <f>IF(AND(28&lt;&gt;38,Anmeldung!$D$35&lt;&gt;"",Anmeldung!$G$35&lt;&gt;Anmeldung!$G$45,(Anmeldung!$B$35&amp;": "&amp;Anmeldung!$D$35&amp;", "&amp;Anmeldung!$E$35&amp;" / "&amp;Anmeldung!$G$35&amp;" / "&amp;Anmeldung!$J$35)&lt;&gt;Anmeldung!$S$45),Anmeldung!$B$35&amp;": "&amp;Anmeldung!$D$35&amp;", "&amp;Anmeldung!$E$35&amp;" / "&amp;Anmeldung!$G$35&amp;" / "&amp;Anmeldung!$J$35,"")</f>
        <v/>
      </c>
      <c r="HM22" t="str">
        <f>IF(AND(28&lt;&gt;38,Anmeldung!$D$35&lt;&gt;"",(Anmeldung!$B$35&amp;": "&amp;Anmeldung!$D$35&amp;", "&amp;Anmeldung!$E$35&amp;" / "&amp;Anmeldung!$G$35&amp;" / "&amp;Anmeldung!$J$35)&lt;&gt;Anmeldung!$R$45),Anmeldung!$B$35&amp;": "&amp;Anmeldung!$D$35&amp;", "&amp;Anmeldung!$E$35&amp;" / "&amp;Anmeldung!$G$35&amp;" / "&amp;Anmeldung!$J$35,"")</f>
        <v/>
      </c>
      <c r="HN22" t="str">
        <f>IF(AND(27&lt;&gt;37,Anmeldung!$D$35&lt;&gt;"",Anmeldung!$U$35="Ja",Anmeldung!$G$35=Anmeldung!$G$45,Anmeldung!$J$35=Anmeldung!$J$45),Anmeldung!$B$35&amp;": "&amp;Anmeldung!$D$35&amp;", "&amp;Anmeldung!$E$35&amp;" / "&amp;Anmeldung!$G$35&amp;" / "&amp;Anmeldung!$J$35,"")</f>
        <v/>
      </c>
      <c r="HQ22" t="str">
        <f>IF(AND(28&lt;&gt;39,Anmeldung!$D$35&lt;&gt;"",Anmeldung!$G$35=Anmeldung!$G$46,Anmeldung!$J$35=Anmeldung!$J$46),Anmeldung!$B$35&amp;": "&amp;Anmeldung!$D$35&amp;", "&amp;Anmeldung!$E$35&amp;" / "&amp;Anmeldung!$G$35&amp;" / "&amp;Anmeldung!$J$35,"")</f>
        <v/>
      </c>
      <c r="HR22" t="str">
        <f>IF(AND(28&lt;&gt;39,Anmeldung!$D$35&lt;&gt;"",Anmeldung!$G$35=Anmeldung!$G$46,Anmeldung!$J$35=Anmeldung!$J$46,(Anmeldung!$B$35&amp;": "&amp;Anmeldung!$D$35&amp;", "&amp;Anmeldung!$E$35&amp;" / "&amp;Anmeldung!$G$35&amp;" / "&amp;Anmeldung!$J$35)&lt;&gt;Anmeldung!$P$46),Anmeldung!$B$35&amp;": "&amp;Anmeldung!$D$35&amp;", "&amp;Anmeldung!$E$35&amp;" / "&amp;Anmeldung!$G$35&amp;" / "&amp;Anmeldung!$J$35,"")</f>
        <v/>
      </c>
      <c r="HS22" t="str">
        <f>IF(AND(28&lt;&gt;39,Anmeldung!$D$35&lt;&gt;"",Anmeldung!$G$35=Anmeldung!$G$46,Anmeldung!$J$35=Anmeldung!$J$46,(Anmeldung!$B$35&amp;": "&amp;Anmeldung!$D$35&amp;", "&amp;Anmeldung!$E$35&amp;" / "&amp;Anmeldung!$G$35&amp;" / "&amp;Anmeldung!$J$35)&lt;&gt;Anmeldung!$O$46),Anmeldung!$B$35&amp;": "&amp;Anmeldung!$D$35&amp;", "&amp;Anmeldung!$E$35&amp;" / "&amp;Anmeldung!$G$35&amp;" / "&amp;Anmeldung!$J$35,"")</f>
        <v/>
      </c>
      <c r="HT22" t="str">
        <f>IF(AND(28&lt;&gt;39,Anmeldung!$D$35&lt;&gt;"",Anmeldung!$G$35&lt;&gt;Anmeldung!$G$46,(Anmeldung!$B$35&amp;": "&amp;Anmeldung!$D$35&amp;", "&amp;Anmeldung!$E$35&amp;" / "&amp;Anmeldung!$G$35&amp;" / "&amp;Anmeldung!$J$35)&lt;&gt;Anmeldung!$S$46),Anmeldung!$B$35&amp;": "&amp;Anmeldung!$D$35&amp;", "&amp;Anmeldung!$E$35&amp;" / "&amp;Anmeldung!$G$35&amp;" / "&amp;Anmeldung!$J$35,"")</f>
        <v/>
      </c>
      <c r="HU22" t="str">
        <f>IF(AND(28&lt;&gt;39,Anmeldung!$D$35&lt;&gt;"",(Anmeldung!$B$35&amp;": "&amp;Anmeldung!$D$35&amp;", "&amp;Anmeldung!$E$35&amp;" / "&amp;Anmeldung!$G$35&amp;" / "&amp;Anmeldung!$J$35)&lt;&gt;Anmeldung!$R$46),Anmeldung!$B$35&amp;": "&amp;Anmeldung!$D$35&amp;", "&amp;Anmeldung!$E$35&amp;" / "&amp;Anmeldung!$G$35&amp;" / "&amp;Anmeldung!$J$35,"")</f>
        <v/>
      </c>
      <c r="HV22" t="str">
        <f>IF(AND(27&lt;&gt;38,Anmeldung!$D$35&lt;&gt;"",Anmeldung!$U$35="Ja",Anmeldung!$G$35=Anmeldung!$G$46,Anmeldung!$J$35=Anmeldung!$J$46),Anmeldung!$B$35&amp;": "&amp;Anmeldung!$D$35&amp;", "&amp;Anmeldung!$E$35&amp;" / "&amp;Anmeldung!$G$35&amp;" / "&amp;Anmeldung!$J$35,"")</f>
        <v/>
      </c>
      <c r="HY22" t="str">
        <f>IF(AND(28&lt;&gt;40,Anmeldung!$D$35&lt;&gt;"",Anmeldung!$G$35=Anmeldung!$G$47,Anmeldung!$J$35=Anmeldung!$J$47),Anmeldung!$B$35&amp;": "&amp;Anmeldung!$D$35&amp;", "&amp;Anmeldung!$E$35&amp;" / "&amp;Anmeldung!$G$35&amp;" / "&amp;Anmeldung!$J$35,"")</f>
        <v/>
      </c>
      <c r="HZ22" t="str">
        <f>IF(AND(28&lt;&gt;40,Anmeldung!$D$35&lt;&gt;"",Anmeldung!$G$35=Anmeldung!$G$47,Anmeldung!$J$35=Anmeldung!$J$47,(Anmeldung!$B$35&amp;": "&amp;Anmeldung!$D$35&amp;", "&amp;Anmeldung!$E$35&amp;" / "&amp;Anmeldung!$G$35&amp;" / "&amp;Anmeldung!$J$35)&lt;&gt;Anmeldung!$P$47),Anmeldung!$B$35&amp;": "&amp;Anmeldung!$D$35&amp;", "&amp;Anmeldung!$E$35&amp;" / "&amp;Anmeldung!$G$35&amp;" / "&amp;Anmeldung!$J$35,"")</f>
        <v/>
      </c>
      <c r="IA22" t="str">
        <f>IF(AND(28&lt;&gt;40,Anmeldung!$D$35&lt;&gt;"",Anmeldung!$G$35=Anmeldung!$G$47,Anmeldung!$J$35=Anmeldung!$J$47,(Anmeldung!$B$35&amp;": "&amp;Anmeldung!$D$35&amp;", "&amp;Anmeldung!$E$35&amp;" / "&amp;Anmeldung!$G$35&amp;" / "&amp;Anmeldung!$J$35)&lt;&gt;Anmeldung!$O$47),Anmeldung!$B$35&amp;": "&amp;Anmeldung!$D$35&amp;", "&amp;Anmeldung!$E$35&amp;" / "&amp;Anmeldung!$G$35&amp;" / "&amp;Anmeldung!$J$35,"")</f>
        <v/>
      </c>
      <c r="IB22" t="str">
        <f>IF(AND(28&lt;&gt;40,Anmeldung!$D$35&lt;&gt;"",Anmeldung!$G$35&lt;&gt;Anmeldung!$G$47,(Anmeldung!$B$35&amp;": "&amp;Anmeldung!$D$35&amp;", "&amp;Anmeldung!$E$35&amp;" / "&amp;Anmeldung!$G$35&amp;" / "&amp;Anmeldung!$J$35)&lt;&gt;Anmeldung!$S$47),Anmeldung!$B$35&amp;": "&amp;Anmeldung!$D$35&amp;", "&amp;Anmeldung!$E$35&amp;" / "&amp;Anmeldung!$G$35&amp;" / "&amp;Anmeldung!$J$35,"")</f>
        <v/>
      </c>
      <c r="IC22" t="str">
        <f>IF(AND(28&lt;&gt;40,Anmeldung!$D$35&lt;&gt;"",(Anmeldung!$B$35&amp;": "&amp;Anmeldung!$D$35&amp;", "&amp;Anmeldung!$E$35&amp;" / "&amp;Anmeldung!$G$35&amp;" / "&amp;Anmeldung!$J$35)&lt;&gt;Anmeldung!$R$47),Anmeldung!$B$35&amp;": "&amp;Anmeldung!$D$35&amp;", "&amp;Anmeldung!$E$35&amp;" / "&amp;Anmeldung!$G$35&amp;" / "&amp;Anmeldung!$J$35,"")</f>
        <v/>
      </c>
      <c r="ID22" t="str">
        <f>IF(AND(27&lt;&gt;39,Anmeldung!$D$35&lt;&gt;"",Anmeldung!$U$35="Ja",Anmeldung!$G$35=Anmeldung!$G$47,Anmeldung!$J$35=Anmeldung!$J$47),Anmeldung!$B$35&amp;": "&amp;Anmeldung!$D$35&amp;", "&amp;Anmeldung!$E$35&amp;" / "&amp;Anmeldung!$G$35&amp;" / "&amp;Anmeldung!$J$35,"")</f>
        <v/>
      </c>
    </row>
    <row r="23" spans="1:238" ht="14.25" customHeight="1" x14ac:dyDescent="0.3">
      <c r="A23" t="str">
        <f>IF(AND(29&lt;&gt;11,Anmeldung!$D$36&lt;&gt;"",Anmeldung!$G$36=Anmeldung!$G$18,Anmeldung!$J$36=Anmeldung!$J$18),Anmeldung!$B$36&amp;": "&amp;Anmeldung!$D$36&amp;", "&amp;Anmeldung!$E$36&amp;" / "&amp;Anmeldung!$G$36&amp;" / "&amp;Anmeldung!$J$36,"")</f>
        <v/>
      </c>
      <c r="B23" t="str">
        <f>IF(AND(29&lt;&gt;11,Anmeldung!$D$36&lt;&gt;"",Anmeldung!$G$36=Anmeldung!$G$18,Anmeldung!$J$36=Anmeldung!$J$18,(Anmeldung!$B$36&amp;": "&amp;Anmeldung!$D$36&amp;", "&amp;Anmeldung!$E$36&amp;" / "&amp;Anmeldung!$G$36&amp;" / "&amp;Anmeldung!$J$36)&lt;&gt;Anmeldung!$P$18),Anmeldung!$B$36&amp;": "&amp;Anmeldung!$D$36&amp;", "&amp;Anmeldung!$E$36&amp;" / "&amp;Anmeldung!$G$36&amp;" / "&amp;Anmeldung!$J$36,"")</f>
        <v/>
      </c>
      <c r="C23" t="str">
        <f>IF(AND(29&lt;&gt;11,Anmeldung!$D$36&lt;&gt;"",Anmeldung!$G$36=Anmeldung!$G$18,Anmeldung!$J$36=Anmeldung!$J$18,(Anmeldung!$B$36&amp;": "&amp;Anmeldung!$D$36&amp;", "&amp;Anmeldung!$E$36&amp;" / "&amp;Anmeldung!$G$36&amp;" / "&amp;Anmeldung!$J$36)&lt;&gt;Anmeldung!$O$18),Anmeldung!$B$36&amp;": "&amp;Anmeldung!$D$36&amp;", "&amp;Anmeldung!$E$36&amp;" / "&amp;Anmeldung!$G$36&amp;" / "&amp;Anmeldung!$J$36,"")</f>
        <v/>
      </c>
      <c r="D23" t="str">
        <f>IF(AND(29&lt;&gt;11,Anmeldung!$D$36&lt;&gt;"",Anmeldung!$G$36&lt;&gt;Anmeldung!$G$18,(Anmeldung!$B$36&amp;": "&amp;Anmeldung!$D$36&amp;", "&amp;Anmeldung!$E$36&amp;" / "&amp;Anmeldung!$G$36&amp;" / "&amp;Anmeldung!$J$36)&lt;&gt;Anmeldung!$S$18),Anmeldung!$B$36&amp;": "&amp;Anmeldung!$D$36&amp;", "&amp;Anmeldung!$E$36&amp;" / "&amp;Anmeldung!$G$36&amp;" / "&amp;Anmeldung!$J$36,"")</f>
        <v/>
      </c>
      <c r="E23" t="str">
        <f>IF(AND(29&lt;&gt;11,Anmeldung!$D$36&lt;&gt;"",(Anmeldung!$B$36&amp;": "&amp;Anmeldung!$D$36&amp;", "&amp;Anmeldung!$E$36&amp;" / "&amp;Anmeldung!$G$36&amp;" / "&amp;Anmeldung!$J$36)&lt;&gt;Anmeldung!$R$18),Anmeldung!$B$36&amp;": "&amp;Anmeldung!$D$36&amp;", "&amp;Anmeldung!$E$36&amp;" / "&amp;Anmeldung!$G$36&amp;" / "&amp;Anmeldung!$J$36,"")</f>
        <v/>
      </c>
      <c r="F23" t="str">
        <f>IF(AND(28&lt;&gt;10,Anmeldung!$D$36&lt;&gt;"",Anmeldung!$U$36="Ja",Anmeldung!$G$36=Anmeldung!$G$18,Anmeldung!$J$36=Anmeldung!$J$18),Anmeldung!$B$36&amp;": "&amp;Anmeldung!$D$36&amp;", "&amp;Anmeldung!$E$36&amp;" / "&amp;Anmeldung!$G$36&amp;" / "&amp;Anmeldung!$J$36,"")</f>
        <v/>
      </c>
      <c r="I23" t="str">
        <f>IF(AND(29&lt;&gt;12,Anmeldung!$D$36&lt;&gt;"",Anmeldung!$G$36=Anmeldung!$G$19,Anmeldung!$J$36=Anmeldung!$J$19),Anmeldung!$B$36&amp;": "&amp;Anmeldung!$D$36&amp;", "&amp;Anmeldung!$E$36&amp;" / "&amp;Anmeldung!$G$36&amp;" / "&amp;Anmeldung!$J$36,"")</f>
        <v/>
      </c>
      <c r="J23" t="str">
        <f>IF(AND(29&lt;&gt;12,Anmeldung!$D$36&lt;&gt;"",Anmeldung!$G$36=Anmeldung!$G$19,Anmeldung!$J$36=Anmeldung!$J$19,(Anmeldung!$B$36&amp;": "&amp;Anmeldung!$D$36&amp;", "&amp;Anmeldung!$E$36&amp;" / "&amp;Anmeldung!$G$36&amp;" / "&amp;Anmeldung!$J$36)&lt;&gt;Anmeldung!$P$19),Anmeldung!$B$36&amp;": "&amp;Anmeldung!$D$36&amp;", "&amp;Anmeldung!$E$36&amp;" / "&amp;Anmeldung!$G$36&amp;" / "&amp;Anmeldung!$J$36,"")</f>
        <v/>
      </c>
      <c r="K23" t="str">
        <f>IF(AND(29&lt;&gt;12,Anmeldung!$D$36&lt;&gt;"",Anmeldung!$G$36=Anmeldung!$G$19,Anmeldung!$J$36=Anmeldung!$J$19,(Anmeldung!$B$36&amp;": "&amp;Anmeldung!$D$36&amp;", "&amp;Anmeldung!$E$36&amp;" / "&amp;Anmeldung!$G$36&amp;" / "&amp;Anmeldung!$J$36)&lt;&gt;Anmeldung!$O$19),Anmeldung!$B$36&amp;": "&amp;Anmeldung!$D$36&amp;", "&amp;Anmeldung!$E$36&amp;" / "&amp;Anmeldung!$G$36&amp;" / "&amp;Anmeldung!$J$36,"")</f>
        <v/>
      </c>
      <c r="L23" t="str">
        <f>IF(AND(29&lt;&gt;12,Anmeldung!$D$36&lt;&gt;"",Anmeldung!$G$36&lt;&gt;Anmeldung!$G$19,(Anmeldung!$B$36&amp;": "&amp;Anmeldung!$D$36&amp;", "&amp;Anmeldung!$E$36&amp;" / "&amp;Anmeldung!$G$36&amp;" / "&amp;Anmeldung!$J$36)&lt;&gt;Anmeldung!$S$19),Anmeldung!$B$36&amp;": "&amp;Anmeldung!$D$36&amp;", "&amp;Anmeldung!$E$36&amp;" / "&amp;Anmeldung!$G$36&amp;" / "&amp;Anmeldung!$J$36,"")</f>
        <v/>
      </c>
      <c r="M23" t="str">
        <f>IF(AND(29&lt;&gt;12,Anmeldung!$D$36&lt;&gt;"",(Anmeldung!$B$36&amp;": "&amp;Anmeldung!$D$36&amp;", "&amp;Anmeldung!$E$36&amp;" / "&amp;Anmeldung!$G$36&amp;" / "&amp;Anmeldung!$J$36)&lt;&gt;Anmeldung!$R$19),Anmeldung!$B$36&amp;": "&amp;Anmeldung!$D$36&amp;", "&amp;Anmeldung!$E$36&amp;" / "&amp;Anmeldung!$G$36&amp;" / "&amp;Anmeldung!$J$36,"")</f>
        <v/>
      </c>
      <c r="N23" t="str">
        <f>IF(AND(28&lt;&gt;11,Anmeldung!$D$36&lt;&gt;"",Anmeldung!$U$36="Ja",Anmeldung!$G$36=Anmeldung!$G$19,Anmeldung!$J$36=Anmeldung!$J$19),Anmeldung!$B$36&amp;": "&amp;Anmeldung!$D$36&amp;", "&amp;Anmeldung!$E$36&amp;" / "&amp;Anmeldung!$G$36&amp;" / "&amp;Anmeldung!$J$36,"")</f>
        <v/>
      </c>
      <c r="Q23" t="str">
        <f>IF(AND(29&lt;&gt;13,Anmeldung!$D$36&lt;&gt;"",Anmeldung!$G$36=Anmeldung!$G$20,Anmeldung!$J$36=Anmeldung!$J$20),Anmeldung!$B$36&amp;": "&amp;Anmeldung!$D$36&amp;", "&amp;Anmeldung!$E$36&amp;" / "&amp;Anmeldung!$G$36&amp;" / "&amp;Anmeldung!$J$36,"")</f>
        <v/>
      </c>
      <c r="R23" t="str">
        <f>IF(AND(29&lt;&gt;13,Anmeldung!$D$36&lt;&gt;"",Anmeldung!$G$36=Anmeldung!$G$20,Anmeldung!$J$36=Anmeldung!$J$20,(Anmeldung!$B$36&amp;": "&amp;Anmeldung!$D$36&amp;", "&amp;Anmeldung!$E$36&amp;" / "&amp;Anmeldung!$G$36&amp;" / "&amp;Anmeldung!$J$36)&lt;&gt;Anmeldung!$P$20),Anmeldung!$B$36&amp;": "&amp;Anmeldung!$D$36&amp;", "&amp;Anmeldung!$E$36&amp;" / "&amp;Anmeldung!$G$36&amp;" / "&amp;Anmeldung!$J$36,"")</f>
        <v/>
      </c>
      <c r="S23" t="str">
        <f>IF(AND(29&lt;&gt;13,Anmeldung!$D$36&lt;&gt;"",Anmeldung!$G$36=Anmeldung!$G$20,Anmeldung!$J$36=Anmeldung!$J$20,(Anmeldung!$B$36&amp;": "&amp;Anmeldung!$D$36&amp;", "&amp;Anmeldung!$E$36&amp;" / "&amp;Anmeldung!$G$36&amp;" / "&amp;Anmeldung!$J$36)&lt;&gt;Anmeldung!$O$20),Anmeldung!$B$36&amp;": "&amp;Anmeldung!$D$36&amp;", "&amp;Anmeldung!$E$36&amp;" / "&amp;Anmeldung!$G$36&amp;" / "&amp;Anmeldung!$J$36,"")</f>
        <v/>
      </c>
      <c r="T23" t="str">
        <f>IF(AND(29&lt;&gt;13,Anmeldung!$D$36&lt;&gt;"",Anmeldung!$G$36&lt;&gt;Anmeldung!$G$20,(Anmeldung!$B$36&amp;": "&amp;Anmeldung!$D$36&amp;", "&amp;Anmeldung!$E$36&amp;" / "&amp;Anmeldung!$G$36&amp;" / "&amp;Anmeldung!$J$36)&lt;&gt;Anmeldung!$S$20),Anmeldung!$B$36&amp;": "&amp;Anmeldung!$D$36&amp;", "&amp;Anmeldung!$E$36&amp;" / "&amp;Anmeldung!$G$36&amp;" / "&amp;Anmeldung!$J$36,"")</f>
        <v/>
      </c>
      <c r="U23" t="str">
        <f>IF(AND(29&lt;&gt;13,Anmeldung!$D$36&lt;&gt;"",(Anmeldung!$B$36&amp;": "&amp;Anmeldung!$D$36&amp;", "&amp;Anmeldung!$E$36&amp;" / "&amp;Anmeldung!$G$36&amp;" / "&amp;Anmeldung!$J$36)&lt;&gt;Anmeldung!$R$20),Anmeldung!$B$36&amp;": "&amp;Anmeldung!$D$36&amp;", "&amp;Anmeldung!$E$36&amp;" / "&amp;Anmeldung!$G$36&amp;" / "&amp;Anmeldung!$J$36,"")</f>
        <v/>
      </c>
      <c r="V23" t="str">
        <f>IF(AND(28&lt;&gt;12,Anmeldung!$D$36&lt;&gt;"",Anmeldung!$U$36="Ja",Anmeldung!$G$36=Anmeldung!$G$20,Anmeldung!$J$36=Anmeldung!$J$20),Anmeldung!$B$36&amp;": "&amp;Anmeldung!$D$36&amp;", "&amp;Anmeldung!$E$36&amp;" / "&amp;Anmeldung!$G$36&amp;" / "&amp;Anmeldung!$J$36,"")</f>
        <v/>
      </c>
      <c r="Y23" t="str">
        <f>IF(AND(29&lt;&gt;14,Anmeldung!$D$36&lt;&gt;"",Anmeldung!$G$36=Anmeldung!$G$21,Anmeldung!$J$36=Anmeldung!$J$21),Anmeldung!$B$36&amp;": "&amp;Anmeldung!$D$36&amp;", "&amp;Anmeldung!$E$36&amp;" / "&amp;Anmeldung!$G$36&amp;" / "&amp;Anmeldung!$J$36,"")</f>
        <v/>
      </c>
      <c r="Z23" t="str">
        <f>IF(AND(29&lt;&gt;14,Anmeldung!$D$36&lt;&gt;"",Anmeldung!$G$36=Anmeldung!$G$21,Anmeldung!$J$36=Anmeldung!$J$21,(Anmeldung!$B$36&amp;": "&amp;Anmeldung!$D$36&amp;", "&amp;Anmeldung!$E$36&amp;" / "&amp;Anmeldung!$G$36&amp;" / "&amp;Anmeldung!$J$36)&lt;&gt;Anmeldung!$P$21),Anmeldung!$B$36&amp;": "&amp;Anmeldung!$D$36&amp;", "&amp;Anmeldung!$E$36&amp;" / "&amp;Anmeldung!$G$36&amp;" / "&amp;Anmeldung!$J$36,"")</f>
        <v/>
      </c>
      <c r="AA23" t="str">
        <f>IF(AND(29&lt;&gt;14,Anmeldung!$D$36&lt;&gt;"",Anmeldung!$G$36=Anmeldung!$G$21,Anmeldung!$J$36=Anmeldung!$J$21,(Anmeldung!$B$36&amp;": "&amp;Anmeldung!$D$36&amp;", "&amp;Anmeldung!$E$36&amp;" / "&amp;Anmeldung!$G$36&amp;" / "&amp;Anmeldung!$J$36)&lt;&gt;Anmeldung!$O$21),Anmeldung!$B$36&amp;": "&amp;Anmeldung!$D$36&amp;", "&amp;Anmeldung!$E$36&amp;" / "&amp;Anmeldung!$G$36&amp;" / "&amp;Anmeldung!$J$36,"")</f>
        <v/>
      </c>
      <c r="AB23" t="str">
        <f>IF(AND(29&lt;&gt;14,Anmeldung!$D$36&lt;&gt;"",Anmeldung!$G$36&lt;&gt;Anmeldung!$G$21,(Anmeldung!$B$36&amp;": "&amp;Anmeldung!$D$36&amp;", "&amp;Anmeldung!$E$36&amp;" / "&amp;Anmeldung!$G$36&amp;" / "&amp;Anmeldung!$J$36)&lt;&gt;Anmeldung!$S$21),Anmeldung!$B$36&amp;": "&amp;Anmeldung!$D$36&amp;", "&amp;Anmeldung!$E$36&amp;" / "&amp;Anmeldung!$G$36&amp;" / "&amp;Anmeldung!$J$36,"")</f>
        <v/>
      </c>
      <c r="AC23" t="str">
        <f>IF(AND(29&lt;&gt;14,Anmeldung!$D$36&lt;&gt;"",(Anmeldung!$B$36&amp;": "&amp;Anmeldung!$D$36&amp;", "&amp;Anmeldung!$E$36&amp;" / "&amp;Anmeldung!$G$36&amp;" / "&amp;Anmeldung!$J$36)&lt;&gt;Anmeldung!$R$21),Anmeldung!$B$36&amp;": "&amp;Anmeldung!$D$36&amp;", "&amp;Anmeldung!$E$36&amp;" / "&amp;Anmeldung!$G$36&amp;" / "&amp;Anmeldung!$J$36,"")</f>
        <v/>
      </c>
      <c r="AD23" t="str">
        <f>IF(AND(28&lt;&gt;13,Anmeldung!$D$36&lt;&gt;"",Anmeldung!$U$36="Ja",Anmeldung!$G$36=Anmeldung!$G$21,Anmeldung!$J$36=Anmeldung!$J$21),Anmeldung!$B$36&amp;": "&amp;Anmeldung!$D$36&amp;", "&amp;Anmeldung!$E$36&amp;" / "&amp;Anmeldung!$G$36&amp;" / "&amp;Anmeldung!$J$36,"")</f>
        <v/>
      </c>
      <c r="AG23" t="str">
        <f>IF(AND(29&lt;&gt;15,Anmeldung!$D$36&lt;&gt;"",Anmeldung!$G$36=Anmeldung!$G$22,Anmeldung!$J$36=Anmeldung!$J$22),Anmeldung!$B$36&amp;": "&amp;Anmeldung!$D$36&amp;", "&amp;Anmeldung!$E$36&amp;" / "&amp;Anmeldung!$G$36&amp;" / "&amp;Anmeldung!$J$36,"")</f>
        <v/>
      </c>
      <c r="AH23" t="str">
        <f>IF(AND(29&lt;&gt;15,Anmeldung!$D$36&lt;&gt;"",Anmeldung!$G$36=Anmeldung!$G$22,Anmeldung!$J$36=Anmeldung!$J$22,(Anmeldung!$B$36&amp;": "&amp;Anmeldung!$D$36&amp;", "&amp;Anmeldung!$E$36&amp;" / "&amp;Anmeldung!$G$36&amp;" / "&amp;Anmeldung!$J$36)&lt;&gt;Anmeldung!$P$22),Anmeldung!$B$36&amp;": "&amp;Anmeldung!$D$36&amp;", "&amp;Anmeldung!$E$36&amp;" / "&amp;Anmeldung!$G$36&amp;" / "&amp;Anmeldung!$J$36,"")</f>
        <v/>
      </c>
      <c r="AI23" t="str">
        <f>IF(AND(29&lt;&gt;15,Anmeldung!$D$36&lt;&gt;"",Anmeldung!$G$36=Anmeldung!$G$22,Anmeldung!$J$36=Anmeldung!$J$22,(Anmeldung!$B$36&amp;": "&amp;Anmeldung!$D$36&amp;", "&amp;Anmeldung!$E$36&amp;" / "&amp;Anmeldung!$G$36&amp;" / "&amp;Anmeldung!$J$36)&lt;&gt;Anmeldung!$O$22),Anmeldung!$B$36&amp;": "&amp;Anmeldung!$D$36&amp;", "&amp;Anmeldung!$E$36&amp;" / "&amp;Anmeldung!$G$36&amp;" / "&amp;Anmeldung!$J$36,"")</f>
        <v/>
      </c>
      <c r="AJ23" t="str">
        <f>IF(AND(29&lt;&gt;15,Anmeldung!$D$36&lt;&gt;"",Anmeldung!$G$36&lt;&gt;Anmeldung!$G$22,(Anmeldung!$B$36&amp;": "&amp;Anmeldung!$D$36&amp;", "&amp;Anmeldung!$E$36&amp;" / "&amp;Anmeldung!$G$36&amp;" / "&amp;Anmeldung!$J$36)&lt;&gt;Anmeldung!$S$22),Anmeldung!$B$36&amp;": "&amp;Anmeldung!$D$36&amp;", "&amp;Anmeldung!$E$36&amp;" / "&amp;Anmeldung!$G$36&amp;" / "&amp;Anmeldung!$J$36,"")</f>
        <v/>
      </c>
      <c r="AK23" t="str">
        <f>IF(AND(29&lt;&gt;15,Anmeldung!$D$36&lt;&gt;"",(Anmeldung!$B$36&amp;": "&amp;Anmeldung!$D$36&amp;", "&amp;Anmeldung!$E$36&amp;" / "&amp;Anmeldung!$G$36&amp;" / "&amp;Anmeldung!$J$36)&lt;&gt;Anmeldung!$R$22),Anmeldung!$B$36&amp;": "&amp;Anmeldung!$D$36&amp;", "&amp;Anmeldung!$E$36&amp;" / "&amp;Anmeldung!$G$36&amp;" / "&amp;Anmeldung!$J$36,"")</f>
        <v/>
      </c>
      <c r="AL23" t="str">
        <f>IF(AND(28&lt;&gt;14,Anmeldung!$D$36&lt;&gt;"",Anmeldung!$U$36="Ja",Anmeldung!$G$36=Anmeldung!$G$22,Anmeldung!$J$36=Anmeldung!$J$22),Anmeldung!$B$36&amp;": "&amp;Anmeldung!$D$36&amp;", "&amp;Anmeldung!$E$36&amp;" / "&amp;Anmeldung!$G$36&amp;" / "&amp;Anmeldung!$J$36,"")</f>
        <v/>
      </c>
      <c r="AO23" t="str">
        <f>IF(AND(29&lt;&gt;16,Anmeldung!$D$36&lt;&gt;"",Anmeldung!$G$36=Anmeldung!$G$23,Anmeldung!$J$36=Anmeldung!$J$23),Anmeldung!$B$36&amp;": "&amp;Anmeldung!$D$36&amp;", "&amp;Anmeldung!$E$36&amp;" / "&amp;Anmeldung!$G$36&amp;" / "&amp;Anmeldung!$J$36,"")</f>
        <v/>
      </c>
      <c r="AP23" t="str">
        <f>IF(AND(29&lt;&gt;16,Anmeldung!$D$36&lt;&gt;"",Anmeldung!$G$36=Anmeldung!$G$23,Anmeldung!$J$36=Anmeldung!$J$23,(Anmeldung!$B$36&amp;": "&amp;Anmeldung!$D$36&amp;", "&amp;Anmeldung!$E$36&amp;" / "&amp;Anmeldung!$G$36&amp;" / "&amp;Anmeldung!$J$36)&lt;&gt;Anmeldung!$P$23),Anmeldung!$B$36&amp;": "&amp;Anmeldung!$D$36&amp;", "&amp;Anmeldung!$E$36&amp;" / "&amp;Anmeldung!$G$36&amp;" / "&amp;Anmeldung!$J$36,"")</f>
        <v/>
      </c>
      <c r="AQ23" t="str">
        <f>IF(AND(29&lt;&gt;16,Anmeldung!$D$36&lt;&gt;"",Anmeldung!$G$36=Anmeldung!$G$23,Anmeldung!$J$36=Anmeldung!$J$23,(Anmeldung!$B$36&amp;": "&amp;Anmeldung!$D$36&amp;", "&amp;Anmeldung!$E$36&amp;" / "&amp;Anmeldung!$G$36&amp;" / "&amp;Anmeldung!$J$36)&lt;&gt;Anmeldung!$O$23),Anmeldung!$B$36&amp;": "&amp;Anmeldung!$D$36&amp;", "&amp;Anmeldung!$E$36&amp;" / "&amp;Anmeldung!$G$36&amp;" / "&amp;Anmeldung!$J$36,"")</f>
        <v/>
      </c>
      <c r="AR23" t="str">
        <f>IF(AND(29&lt;&gt;16,Anmeldung!$D$36&lt;&gt;"",Anmeldung!$G$36&lt;&gt;Anmeldung!$G$23,(Anmeldung!$B$36&amp;": "&amp;Anmeldung!$D$36&amp;", "&amp;Anmeldung!$E$36&amp;" / "&amp;Anmeldung!$G$36&amp;" / "&amp;Anmeldung!$J$36)&lt;&gt;Anmeldung!$S$23),Anmeldung!$B$36&amp;": "&amp;Anmeldung!$D$36&amp;", "&amp;Anmeldung!$E$36&amp;" / "&amp;Anmeldung!$G$36&amp;" / "&amp;Anmeldung!$J$36,"")</f>
        <v/>
      </c>
      <c r="AS23" t="str">
        <f>IF(AND(29&lt;&gt;16,Anmeldung!$D$36&lt;&gt;"",(Anmeldung!$B$36&amp;": "&amp;Anmeldung!$D$36&amp;", "&amp;Anmeldung!$E$36&amp;" / "&amp;Anmeldung!$G$36&amp;" / "&amp;Anmeldung!$J$36)&lt;&gt;Anmeldung!$R$23),Anmeldung!$B$36&amp;": "&amp;Anmeldung!$D$36&amp;", "&amp;Anmeldung!$E$36&amp;" / "&amp;Anmeldung!$G$36&amp;" / "&amp;Anmeldung!$J$36,"")</f>
        <v/>
      </c>
      <c r="AT23" t="str">
        <f>IF(AND(28&lt;&gt;15,Anmeldung!$D$36&lt;&gt;"",Anmeldung!$U$36="Ja",Anmeldung!$G$36=Anmeldung!$G$23,Anmeldung!$J$36=Anmeldung!$J$23),Anmeldung!$B$36&amp;": "&amp;Anmeldung!$D$36&amp;", "&amp;Anmeldung!$E$36&amp;" / "&amp;Anmeldung!$G$36&amp;" / "&amp;Anmeldung!$J$36,"")</f>
        <v/>
      </c>
      <c r="AW23" t="str">
        <f>IF(AND(29&lt;&gt;17,Anmeldung!$D$36&lt;&gt;"",Anmeldung!$G$36=Anmeldung!$G$24,Anmeldung!$J$36=Anmeldung!$J$24),Anmeldung!$B$36&amp;": "&amp;Anmeldung!$D$36&amp;", "&amp;Anmeldung!$E$36&amp;" / "&amp;Anmeldung!$G$36&amp;" / "&amp;Anmeldung!$J$36,"")</f>
        <v/>
      </c>
      <c r="AX23" t="str">
        <f>IF(AND(29&lt;&gt;17,Anmeldung!$D$36&lt;&gt;"",Anmeldung!$G$36=Anmeldung!$G$24,Anmeldung!$J$36=Anmeldung!$J$24,(Anmeldung!$B$36&amp;": "&amp;Anmeldung!$D$36&amp;", "&amp;Anmeldung!$E$36&amp;" / "&amp;Anmeldung!$G$36&amp;" / "&amp;Anmeldung!$J$36)&lt;&gt;Anmeldung!$P$24),Anmeldung!$B$36&amp;": "&amp;Anmeldung!$D$36&amp;", "&amp;Anmeldung!$E$36&amp;" / "&amp;Anmeldung!$G$36&amp;" / "&amp;Anmeldung!$J$36,"")</f>
        <v/>
      </c>
      <c r="AY23" t="str">
        <f>IF(AND(29&lt;&gt;17,Anmeldung!$D$36&lt;&gt;"",Anmeldung!$G$36=Anmeldung!$G$24,Anmeldung!$J$36=Anmeldung!$J$24,(Anmeldung!$B$36&amp;": "&amp;Anmeldung!$D$36&amp;", "&amp;Anmeldung!$E$36&amp;" / "&amp;Anmeldung!$G$36&amp;" / "&amp;Anmeldung!$J$36)&lt;&gt;Anmeldung!$O$24),Anmeldung!$B$36&amp;": "&amp;Anmeldung!$D$36&amp;", "&amp;Anmeldung!$E$36&amp;" / "&amp;Anmeldung!$G$36&amp;" / "&amp;Anmeldung!$J$36,"")</f>
        <v/>
      </c>
      <c r="AZ23" t="str">
        <f>IF(AND(29&lt;&gt;17,Anmeldung!$D$36&lt;&gt;"",Anmeldung!$G$36&lt;&gt;Anmeldung!$G$24,(Anmeldung!$B$36&amp;": "&amp;Anmeldung!$D$36&amp;", "&amp;Anmeldung!$E$36&amp;" / "&amp;Anmeldung!$G$36&amp;" / "&amp;Anmeldung!$J$36)&lt;&gt;Anmeldung!$S$24),Anmeldung!$B$36&amp;": "&amp;Anmeldung!$D$36&amp;", "&amp;Anmeldung!$E$36&amp;" / "&amp;Anmeldung!$G$36&amp;" / "&amp;Anmeldung!$J$36,"")</f>
        <v/>
      </c>
      <c r="BA23" t="str">
        <f>IF(AND(29&lt;&gt;17,Anmeldung!$D$36&lt;&gt;"",(Anmeldung!$B$36&amp;": "&amp;Anmeldung!$D$36&amp;", "&amp;Anmeldung!$E$36&amp;" / "&amp;Anmeldung!$G$36&amp;" / "&amp;Anmeldung!$J$36)&lt;&gt;Anmeldung!$R$24),Anmeldung!$B$36&amp;": "&amp;Anmeldung!$D$36&amp;", "&amp;Anmeldung!$E$36&amp;" / "&amp;Anmeldung!$G$36&amp;" / "&amp;Anmeldung!$J$36,"")</f>
        <v/>
      </c>
      <c r="BB23" t="str">
        <f>IF(AND(28&lt;&gt;16,Anmeldung!$D$36&lt;&gt;"",Anmeldung!$U$36="Ja",Anmeldung!$G$36=Anmeldung!$G$24,Anmeldung!$J$36=Anmeldung!$J$24),Anmeldung!$B$36&amp;": "&amp;Anmeldung!$D$36&amp;", "&amp;Anmeldung!$E$36&amp;" / "&amp;Anmeldung!$G$36&amp;" / "&amp;Anmeldung!$J$36,"")</f>
        <v/>
      </c>
      <c r="BE23" t="str">
        <f>IF(AND(29&lt;&gt;18,Anmeldung!$D$36&lt;&gt;"",Anmeldung!$G$36=Anmeldung!$G$25,Anmeldung!$J$36=Anmeldung!$J$25),Anmeldung!$B$36&amp;": "&amp;Anmeldung!$D$36&amp;", "&amp;Anmeldung!$E$36&amp;" / "&amp;Anmeldung!$G$36&amp;" / "&amp;Anmeldung!$J$36,"")</f>
        <v/>
      </c>
      <c r="BF23" t="str">
        <f>IF(AND(29&lt;&gt;18,Anmeldung!$D$36&lt;&gt;"",Anmeldung!$G$36=Anmeldung!$G$25,Anmeldung!$J$36=Anmeldung!$J$25,(Anmeldung!$B$36&amp;": "&amp;Anmeldung!$D$36&amp;", "&amp;Anmeldung!$E$36&amp;" / "&amp;Anmeldung!$G$36&amp;" / "&amp;Anmeldung!$J$36)&lt;&gt;Anmeldung!$P$25),Anmeldung!$B$36&amp;": "&amp;Anmeldung!$D$36&amp;", "&amp;Anmeldung!$E$36&amp;" / "&amp;Anmeldung!$G$36&amp;" / "&amp;Anmeldung!$J$36,"")</f>
        <v/>
      </c>
      <c r="BG23" t="str">
        <f>IF(AND(29&lt;&gt;18,Anmeldung!$D$36&lt;&gt;"",Anmeldung!$G$36=Anmeldung!$G$25,Anmeldung!$J$36=Anmeldung!$J$25,(Anmeldung!$B$36&amp;": "&amp;Anmeldung!$D$36&amp;", "&amp;Anmeldung!$E$36&amp;" / "&amp;Anmeldung!$G$36&amp;" / "&amp;Anmeldung!$J$36)&lt;&gt;Anmeldung!$O$25),Anmeldung!$B$36&amp;": "&amp;Anmeldung!$D$36&amp;", "&amp;Anmeldung!$E$36&amp;" / "&amp;Anmeldung!$G$36&amp;" / "&amp;Anmeldung!$J$36,"")</f>
        <v/>
      </c>
      <c r="BH23" t="str">
        <f>IF(AND(29&lt;&gt;18,Anmeldung!$D$36&lt;&gt;"",Anmeldung!$G$36&lt;&gt;Anmeldung!$G$25,(Anmeldung!$B$36&amp;": "&amp;Anmeldung!$D$36&amp;", "&amp;Anmeldung!$E$36&amp;" / "&amp;Anmeldung!$G$36&amp;" / "&amp;Anmeldung!$J$36)&lt;&gt;Anmeldung!$S$25),Anmeldung!$B$36&amp;": "&amp;Anmeldung!$D$36&amp;", "&amp;Anmeldung!$E$36&amp;" / "&amp;Anmeldung!$G$36&amp;" / "&amp;Anmeldung!$J$36,"")</f>
        <v/>
      </c>
      <c r="BI23" t="str">
        <f>IF(AND(29&lt;&gt;18,Anmeldung!$D$36&lt;&gt;"",(Anmeldung!$B$36&amp;": "&amp;Anmeldung!$D$36&amp;", "&amp;Anmeldung!$E$36&amp;" / "&amp;Anmeldung!$G$36&amp;" / "&amp;Anmeldung!$J$36)&lt;&gt;Anmeldung!$R$25),Anmeldung!$B$36&amp;": "&amp;Anmeldung!$D$36&amp;", "&amp;Anmeldung!$E$36&amp;" / "&amp;Anmeldung!$G$36&amp;" / "&amp;Anmeldung!$J$36,"")</f>
        <v/>
      </c>
      <c r="BJ23" t="str">
        <f>IF(AND(28&lt;&gt;17,Anmeldung!$D$36&lt;&gt;"",Anmeldung!$U$36="Ja",Anmeldung!$G$36=Anmeldung!$G$25,Anmeldung!$J$36=Anmeldung!$J$25),Anmeldung!$B$36&amp;": "&amp;Anmeldung!$D$36&amp;", "&amp;Anmeldung!$E$36&amp;" / "&amp;Anmeldung!$G$36&amp;" / "&amp;Anmeldung!$J$36,"")</f>
        <v/>
      </c>
      <c r="BM23" t="str">
        <f>IF(AND(29&lt;&gt;19,Anmeldung!$D$36&lt;&gt;"",Anmeldung!$G$36=Anmeldung!$G$26,Anmeldung!$J$36=Anmeldung!$J$26),Anmeldung!$B$36&amp;": "&amp;Anmeldung!$D$36&amp;", "&amp;Anmeldung!$E$36&amp;" / "&amp;Anmeldung!$G$36&amp;" / "&amp;Anmeldung!$J$36,"")</f>
        <v/>
      </c>
      <c r="BN23" t="str">
        <f>IF(AND(29&lt;&gt;19,Anmeldung!$D$36&lt;&gt;"",Anmeldung!$G$36=Anmeldung!$G$26,Anmeldung!$J$36=Anmeldung!$J$26,(Anmeldung!$B$36&amp;": "&amp;Anmeldung!$D$36&amp;", "&amp;Anmeldung!$E$36&amp;" / "&amp;Anmeldung!$G$36&amp;" / "&amp;Anmeldung!$J$36)&lt;&gt;Anmeldung!$P$26),Anmeldung!$B$36&amp;": "&amp;Anmeldung!$D$36&amp;", "&amp;Anmeldung!$E$36&amp;" / "&amp;Anmeldung!$G$36&amp;" / "&amp;Anmeldung!$J$36,"")</f>
        <v/>
      </c>
      <c r="BO23" t="str">
        <f>IF(AND(29&lt;&gt;19,Anmeldung!$D$36&lt;&gt;"",Anmeldung!$G$36=Anmeldung!$G$26,Anmeldung!$J$36=Anmeldung!$J$26,(Anmeldung!$B$36&amp;": "&amp;Anmeldung!$D$36&amp;", "&amp;Anmeldung!$E$36&amp;" / "&amp;Anmeldung!$G$36&amp;" / "&amp;Anmeldung!$J$36)&lt;&gt;Anmeldung!$O$26),Anmeldung!$B$36&amp;": "&amp;Anmeldung!$D$36&amp;", "&amp;Anmeldung!$E$36&amp;" / "&amp;Anmeldung!$G$36&amp;" / "&amp;Anmeldung!$J$36,"")</f>
        <v/>
      </c>
      <c r="BP23" t="str">
        <f>IF(AND(29&lt;&gt;19,Anmeldung!$D$36&lt;&gt;"",Anmeldung!$G$36&lt;&gt;Anmeldung!$G$26,(Anmeldung!$B$36&amp;": "&amp;Anmeldung!$D$36&amp;", "&amp;Anmeldung!$E$36&amp;" / "&amp;Anmeldung!$G$36&amp;" / "&amp;Anmeldung!$J$36)&lt;&gt;Anmeldung!$S$26),Anmeldung!$B$36&amp;": "&amp;Anmeldung!$D$36&amp;", "&amp;Anmeldung!$E$36&amp;" / "&amp;Anmeldung!$G$36&amp;" / "&amp;Anmeldung!$J$36,"")</f>
        <v/>
      </c>
      <c r="BQ23" t="str">
        <f>IF(AND(29&lt;&gt;19,Anmeldung!$D$36&lt;&gt;"",(Anmeldung!$B$36&amp;": "&amp;Anmeldung!$D$36&amp;", "&amp;Anmeldung!$E$36&amp;" / "&amp;Anmeldung!$G$36&amp;" / "&amp;Anmeldung!$J$36)&lt;&gt;Anmeldung!$R$26),Anmeldung!$B$36&amp;": "&amp;Anmeldung!$D$36&amp;", "&amp;Anmeldung!$E$36&amp;" / "&amp;Anmeldung!$G$36&amp;" / "&amp;Anmeldung!$J$36,"")</f>
        <v/>
      </c>
      <c r="BR23" t="str">
        <f>IF(AND(28&lt;&gt;18,Anmeldung!$D$36&lt;&gt;"",Anmeldung!$U$36="Ja",Anmeldung!$G$36=Anmeldung!$G$26,Anmeldung!$J$36=Anmeldung!$J$26),Anmeldung!$B$36&amp;": "&amp;Anmeldung!$D$36&amp;", "&amp;Anmeldung!$E$36&amp;" / "&amp;Anmeldung!$G$36&amp;" / "&amp;Anmeldung!$J$36,"")</f>
        <v/>
      </c>
      <c r="BU23" t="str">
        <f>IF(AND(29&lt;&gt;20,Anmeldung!$D$36&lt;&gt;"",Anmeldung!$G$36=Anmeldung!$G$27,Anmeldung!$J$36=Anmeldung!$J$27),Anmeldung!$B$36&amp;": "&amp;Anmeldung!$D$36&amp;", "&amp;Anmeldung!$E$36&amp;" / "&amp;Anmeldung!$G$36&amp;" / "&amp;Anmeldung!$J$36,"")</f>
        <v/>
      </c>
      <c r="BV23" t="str">
        <f>IF(AND(29&lt;&gt;20,Anmeldung!$D$36&lt;&gt;"",Anmeldung!$G$36=Anmeldung!$G$27,Anmeldung!$J$36=Anmeldung!$J$27,(Anmeldung!$B$36&amp;": "&amp;Anmeldung!$D$36&amp;", "&amp;Anmeldung!$E$36&amp;" / "&amp;Anmeldung!$G$36&amp;" / "&amp;Anmeldung!$J$36)&lt;&gt;Anmeldung!$P$27),Anmeldung!$B$36&amp;": "&amp;Anmeldung!$D$36&amp;", "&amp;Anmeldung!$E$36&amp;" / "&amp;Anmeldung!$G$36&amp;" / "&amp;Anmeldung!$J$36,"")</f>
        <v/>
      </c>
      <c r="BW23" t="str">
        <f>IF(AND(29&lt;&gt;20,Anmeldung!$D$36&lt;&gt;"",Anmeldung!$G$36=Anmeldung!$G$27,Anmeldung!$J$36=Anmeldung!$J$27,(Anmeldung!$B$36&amp;": "&amp;Anmeldung!$D$36&amp;", "&amp;Anmeldung!$E$36&amp;" / "&amp;Anmeldung!$G$36&amp;" / "&amp;Anmeldung!$J$36)&lt;&gt;Anmeldung!$O$27),Anmeldung!$B$36&amp;": "&amp;Anmeldung!$D$36&amp;", "&amp;Anmeldung!$E$36&amp;" / "&amp;Anmeldung!$G$36&amp;" / "&amp;Anmeldung!$J$36,"")</f>
        <v/>
      </c>
      <c r="BX23" t="str">
        <f>IF(AND(29&lt;&gt;20,Anmeldung!$D$36&lt;&gt;"",Anmeldung!$G$36&lt;&gt;Anmeldung!$G$27,(Anmeldung!$B$36&amp;": "&amp;Anmeldung!$D$36&amp;", "&amp;Anmeldung!$E$36&amp;" / "&amp;Anmeldung!$G$36&amp;" / "&amp;Anmeldung!$J$36)&lt;&gt;Anmeldung!$S$27),Anmeldung!$B$36&amp;": "&amp;Anmeldung!$D$36&amp;", "&amp;Anmeldung!$E$36&amp;" / "&amp;Anmeldung!$G$36&amp;" / "&amp;Anmeldung!$J$36,"")</f>
        <v/>
      </c>
      <c r="BY23" t="str">
        <f>IF(AND(29&lt;&gt;20,Anmeldung!$D$36&lt;&gt;"",(Anmeldung!$B$36&amp;": "&amp;Anmeldung!$D$36&amp;", "&amp;Anmeldung!$E$36&amp;" / "&amp;Anmeldung!$G$36&amp;" / "&amp;Anmeldung!$J$36)&lt;&gt;Anmeldung!$R$27),Anmeldung!$B$36&amp;": "&amp;Anmeldung!$D$36&amp;", "&amp;Anmeldung!$E$36&amp;" / "&amp;Anmeldung!$G$36&amp;" / "&amp;Anmeldung!$J$36,"")</f>
        <v/>
      </c>
      <c r="BZ23" t="str">
        <f>IF(AND(28&lt;&gt;19,Anmeldung!$D$36&lt;&gt;"",Anmeldung!$U$36="Ja",Anmeldung!$G$36=Anmeldung!$G$27,Anmeldung!$J$36=Anmeldung!$J$27),Anmeldung!$B$36&amp;": "&amp;Anmeldung!$D$36&amp;", "&amp;Anmeldung!$E$36&amp;" / "&amp;Anmeldung!$G$36&amp;" / "&amp;Anmeldung!$J$36,"")</f>
        <v/>
      </c>
      <c r="CC23" t="str">
        <f>IF(AND(29&lt;&gt;21,Anmeldung!$D$36&lt;&gt;"",Anmeldung!$G$36=Anmeldung!$G$28,Anmeldung!$J$36=Anmeldung!$J$28),Anmeldung!$B$36&amp;": "&amp;Anmeldung!$D$36&amp;", "&amp;Anmeldung!$E$36&amp;" / "&amp;Anmeldung!$G$36&amp;" / "&amp;Anmeldung!$J$36,"")</f>
        <v/>
      </c>
      <c r="CD23" t="str">
        <f>IF(AND(29&lt;&gt;21,Anmeldung!$D$36&lt;&gt;"",Anmeldung!$G$36=Anmeldung!$G$28,Anmeldung!$J$36=Anmeldung!$J$28,(Anmeldung!$B$36&amp;": "&amp;Anmeldung!$D$36&amp;", "&amp;Anmeldung!$E$36&amp;" / "&amp;Anmeldung!$G$36&amp;" / "&amp;Anmeldung!$J$36)&lt;&gt;Anmeldung!$P$28),Anmeldung!$B$36&amp;": "&amp;Anmeldung!$D$36&amp;", "&amp;Anmeldung!$E$36&amp;" / "&amp;Anmeldung!$G$36&amp;" / "&amp;Anmeldung!$J$36,"")</f>
        <v/>
      </c>
      <c r="CE23" t="str">
        <f>IF(AND(29&lt;&gt;21,Anmeldung!$D$36&lt;&gt;"",Anmeldung!$G$36=Anmeldung!$G$28,Anmeldung!$J$36=Anmeldung!$J$28,(Anmeldung!$B$36&amp;": "&amp;Anmeldung!$D$36&amp;", "&amp;Anmeldung!$E$36&amp;" / "&amp;Anmeldung!$G$36&amp;" / "&amp;Anmeldung!$J$36)&lt;&gt;Anmeldung!$O$28),Anmeldung!$B$36&amp;": "&amp;Anmeldung!$D$36&amp;", "&amp;Anmeldung!$E$36&amp;" / "&amp;Anmeldung!$G$36&amp;" / "&amp;Anmeldung!$J$36,"")</f>
        <v/>
      </c>
      <c r="CF23" t="str">
        <f>IF(AND(29&lt;&gt;21,Anmeldung!$D$36&lt;&gt;"",Anmeldung!$G$36&lt;&gt;Anmeldung!$G$28,(Anmeldung!$B$36&amp;": "&amp;Anmeldung!$D$36&amp;", "&amp;Anmeldung!$E$36&amp;" / "&amp;Anmeldung!$G$36&amp;" / "&amp;Anmeldung!$J$36)&lt;&gt;Anmeldung!$S$28),Anmeldung!$B$36&amp;": "&amp;Anmeldung!$D$36&amp;", "&amp;Anmeldung!$E$36&amp;" / "&amp;Anmeldung!$G$36&amp;" / "&amp;Anmeldung!$J$36,"")</f>
        <v/>
      </c>
      <c r="CG23" t="str">
        <f>IF(AND(29&lt;&gt;21,Anmeldung!$D$36&lt;&gt;"",(Anmeldung!$B$36&amp;": "&amp;Anmeldung!$D$36&amp;", "&amp;Anmeldung!$E$36&amp;" / "&amp;Anmeldung!$G$36&amp;" / "&amp;Anmeldung!$J$36)&lt;&gt;Anmeldung!$R$28),Anmeldung!$B$36&amp;": "&amp;Anmeldung!$D$36&amp;", "&amp;Anmeldung!$E$36&amp;" / "&amp;Anmeldung!$G$36&amp;" / "&amp;Anmeldung!$J$36,"")</f>
        <v/>
      </c>
      <c r="CH23" t="str">
        <f>IF(AND(28&lt;&gt;20,Anmeldung!$D$36&lt;&gt;"",Anmeldung!$U$36="Ja",Anmeldung!$G$36=Anmeldung!$G$28,Anmeldung!$J$36=Anmeldung!$J$28),Anmeldung!$B$36&amp;": "&amp;Anmeldung!$D$36&amp;", "&amp;Anmeldung!$E$36&amp;" / "&amp;Anmeldung!$G$36&amp;" / "&amp;Anmeldung!$J$36,"")</f>
        <v/>
      </c>
      <c r="CK23" t="str">
        <f>IF(AND(29&lt;&gt;22,Anmeldung!$D$36&lt;&gt;"",Anmeldung!$G$36=Anmeldung!$G$29,Anmeldung!$J$36=Anmeldung!$J$29),Anmeldung!$B$36&amp;": "&amp;Anmeldung!$D$36&amp;", "&amp;Anmeldung!$E$36&amp;" / "&amp;Anmeldung!$G$36&amp;" / "&amp;Anmeldung!$J$36,"")</f>
        <v/>
      </c>
      <c r="CL23" t="str">
        <f>IF(AND(29&lt;&gt;22,Anmeldung!$D$36&lt;&gt;"",Anmeldung!$G$36=Anmeldung!$G$29,Anmeldung!$J$36=Anmeldung!$J$29,(Anmeldung!$B$36&amp;": "&amp;Anmeldung!$D$36&amp;", "&amp;Anmeldung!$E$36&amp;" / "&amp;Anmeldung!$G$36&amp;" / "&amp;Anmeldung!$J$36)&lt;&gt;Anmeldung!$P$29),Anmeldung!$B$36&amp;": "&amp;Anmeldung!$D$36&amp;", "&amp;Anmeldung!$E$36&amp;" / "&amp;Anmeldung!$G$36&amp;" / "&amp;Anmeldung!$J$36,"")</f>
        <v/>
      </c>
      <c r="CM23" t="str">
        <f>IF(AND(29&lt;&gt;22,Anmeldung!$D$36&lt;&gt;"",Anmeldung!$G$36=Anmeldung!$G$29,Anmeldung!$J$36=Anmeldung!$J$29,(Anmeldung!$B$36&amp;": "&amp;Anmeldung!$D$36&amp;", "&amp;Anmeldung!$E$36&amp;" / "&amp;Anmeldung!$G$36&amp;" / "&amp;Anmeldung!$J$36)&lt;&gt;Anmeldung!$O$29),Anmeldung!$B$36&amp;": "&amp;Anmeldung!$D$36&amp;", "&amp;Anmeldung!$E$36&amp;" / "&amp;Anmeldung!$G$36&amp;" / "&amp;Anmeldung!$J$36,"")</f>
        <v/>
      </c>
      <c r="CN23" t="str">
        <f>IF(AND(29&lt;&gt;22,Anmeldung!$D$36&lt;&gt;"",Anmeldung!$G$36&lt;&gt;Anmeldung!$G$29,(Anmeldung!$B$36&amp;": "&amp;Anmeldung!$D$36&amp;", "&amp;Anmeldung!$E$36&amp;" / "&amp;Anmeldung!$G$36&amp;" / "&amp;Anmeldung!$J$36)&lt;&gt;Anmeldung!$S$29),Anmeldung!$B$36&amp;": "&amp;Anmeldung!$D$36&amp;", "&amp;Anmeldung!$E$36&amp;" / "&amp;Anmeldung!$G$36&amp;" / "&amp;Anmeldung!$J$36,"")</f>
        <v/>
      </c>
      <c r="CO23" t="str">
        <f>IF(AND(29&lt;&gt;22,Anmeldung!$D$36&lt;&gt;"",(Anmeldung!$B$36&amp;": "&amp;Anmeldung!$D$36&amp;", "&amp;Anmeldung!$E$36&amp;" / "&amp;Anmeldung!$G$36&amp;" / "&amp;Anmeldung!$J$36)&lt;&gt;Anmeldung!$R$29),Anmeldung!$B$36&amp;": "&amp;Anmeldung!$D$36&amp;", "&amp;Anmeldung!$E$36&amp;" / "&amp;Anmeldung!$G$36&amp;" / "&amp;Anmeldung!$J$36,"")</f>
        <v/>
      </c>
      <c r="CP23" t="str">
        <f>IF(AND(28&lt;&gt;21,Anmeldung!$D$36&lt;&gt;"",Anmeldung!$U$36="Ja",Anmeldung!$G$36=Anmeldung!$G$29,Anmeldung!$J$36=Anmeldung!$J$29),Anmeldung!$B$36&amp;": "&amp;Anmeldung!$D$36&amp;", "&amp;Anmeldung!$E$36&amp;" / "&amp;Anmeldung!$G$36&amp;" / "&amp;Anmeldung!$J$36,"")</f>
        <v/>
      </c>
      <c r="CS23" t="str">
        <f>IF(AND(29&lt;&gt;23,Anmeldung!$D$36&lt;&gt;"",Anmeldung!$G$36=Anmeldung!$G$30,Anmeldung!$J$36=Anmeldung!$J$30),Anmeldung!$B$36&amp;": "&amp;Anmeldung!$D$36&amp;", "&amp;Anmeldung!$E$36&amp;" / "&amp;Anmeldung!$G$36&amp;" / "&amp;Anmeldung!$J$36,"")</f>
        <v/>
      </c>
      <c r="CT23" t="str">
        <f>IF(AND(29&lt;&gt;23,Anmeldung!$D$36&lt;&gt;"",Anmeldung!$G$36=Anmeldung!$G$30,Anmeldung!$J$36=Anmeldung!$J$30,(Anmeldung!$B$36&amp;": "&amp;Anmeldung!$D$36&amp;", "&amp;Anmeldung!$E$36&amp;" / "&amp;Anmeldung!$G$36&amp;" / "&amp;Anmeldung!$J$36)&lt;&gt;Anmeldung!$P$30),Anmeldung!$B$36&amp;": "&amp;Anmeldung!$D$36&amp;", "&amp;Anmeldung!$E$36&amp;" / "&amp;Anmeldung!$G$36&amp;" / "&amp;Anmeldung!$J$36,"")</f>
        <v/>
      </c>
      <c r="CU23" t="str">
        <f>IF(AND(29&lt;&gt;23,Anmeldung!$D$36&lt;&gt;"",Anmeldung!$G$36=Anmeldung!$G$30,Anmeldung!$J$36=Anmeldung!$J$30,(Anmeldung!$B$36&amp;": "&amp;Anmeldung!$D$36&amp;", "&amp;Anmeldung!$E$36&amp;" / "&amp;Anmeldung!$G$36&amp;" / "&amp;Anmeldung!$J$36)&lt;&gt;Anmeldung!$O$30),Anmeldung!$B$36&amp;": "&amp;Anmeldung!$D$36&amp;", "&amp;Anmeldung!$E$36&amp;" / "&amp;Anmeldung!$G$36&amp;" / "&amp;Anmeldung!$J$36,"")</f>
        <v/>
      </c>
      <c r="CV23" t="str">
        <f>IF(AND(29&lt;&gt;23,Anmeldung!$D$36&lt;&gt;"",Anmeldung!$G$36&lt;&gt;Anmeldung!$G$30,(Anmeldung!$B$36&amp;": "&amp;Anmeldung!$D$36&amp;", "&amp;Anmeldung!$E$36&amp;" / "&amp;Anmeldung!$G$36&amp;" / "&amp;Anmeldung!$J$36)&lt;&gt;Anmeldung!$S$30),Anmeldung!$B$36&amp;": "&amp;Anmeldung!$D$36&amp;", "&amp;Anmeldung!$E$36&amp;" / "&amp;Anmeldung!$G$36&amp;" / "&amp;Anmeldung!$J$36,"")</f>
        <v/>
      </c>
      <c r="CW23" t="str">
        <f>IF(AND(29&lt;&gt;23,Anmeldung!$D$36&lt;&gt;"",(Anmeldung!$B$36&amp;": "&amp;Anmeldung!$D$36&amp;", "&amp;Anmeldung!$E$36&amp;" / "&amp;Anmeldung!$G$36&amp;" / "&amp;Anmeldung!$J$36)&lt;&gt;Anmeldung!$R$30),Anmeldung!$B$36&amp;": "&amp;Anmeldung!$D$36&amp;", "&amp;Anmeldung!$E$36&amp;" / "&amp;Anmeldung!$G$36&amp;" / "&amp;Anmeldung!$J$36,"")</f>
        <v/>
      </c>
      <c r="CX23" t="str">
        <f>IF(AND(28&lt;&gt;22,Anmeldung!$D$36&lt;&gt;"",Anmeldung!$U$36="Ja",Anmeldung!$G$36=Anmeldung!$G$30,Anmeldung!$J$36=Anmeldung!$J$30),Anmeldung!$B$36&amp;": "&amp;Anmeldung!$D$36&amp;", "&amp;Anmeldung!$E$36&amp;" / "&amp;Anmeldung!$G$36&amp;" / "&amp;Anmeldung!$J$36,"")</f>
        <v/>
      </c>
      <c r="DA23" t="str">
        <f>IF(AND(29&lt;&gt;24,Anmeldung!$D$36&lt;&gt;"",Anmeldung!$G$36=Anmeldung!$G$31,Anmeldung!$J$36=Anmeldung!$J$31),Anmeldung!$B$36&amp;": "&amp;Anmeldung!$D$36&amp;", "&amp;Anmeldung!$E$36&amp;" / "&amp;Anmeldung!$G$36&amp;" / "&amp;Anmeldung!$J$36,"")</f>
        <v/>
      </c>
      <c r="DB23" t="str">
        <f>IF(AND(29&lt;&gt;24,Anmeldung!$D$36&lt;&gt;"",Anmeldung!$G$36=Anmeldung!$G$31,Anmeldung!$J$36=Anmeldung!$J$31,(Anmeldung!$B$36&amp;": "&amp;Anmeldung!$D$36&amp;", "&amp;Anmeldung!$E$36&amp;" / "&amp;Anmeldung!$G$36&amp;" / "&amp;Anmeldung!$J$36)&lt;&gt;Anmeldung!$P$31),Anmeldung!$B$36&amp;": "&amp;Anmeldung!$D$36&amp;", "&amp;Anmeldung!$E$36&amp;" / "&amp;Anmeldung!$G$36&amp;" / "&amp;Anmeldung!$J$36,"")</f>
        <v/>
      </c>
      <c r="DC23" t="str">
        <f>IF(AND(29&lt;&gt;24,Anmeldung!$D$36&lt;&gt;"",Anmeldung!$G$36=Anmeldung!$G$31,Anmeldung!$J$36=Anmeldung!$J$31,(Anmeldung!$B$36&amp;": "&amp;Anmeldung!$D$36&amp;", "&amp;Anmeldung!$E$36&amp;" / "&amp;Anmeldung!$G$36&amp;" / "&amp;Anmeldung!$J$36)&lt;&gt;Anmeldung!$O$31),Anmeldung!$B$36&amp;": "&amp;Anmeldung!$D$36&amp;", "&amp;Anmeldung!$E$36&amp;" / "&amp;Anmeldung!$G$36&amp;" / "&amp;Anmeldung!$J$36,"")</f>
        <v/>
      </c>
      <c r="DD23" t="str">
        <f>IF(AND(29&lt;&gt;24,Anmeldung!$D$36&lt;&gt;"",Anmeldung!$G$36&lt;&gt;Anmeldung!$G$31,(Anmeldung!$B$36&amp;": "&amp;Anmeldung!$D$36&amp;", "&amp;Anmeldung!$E$36&amp;" / "&amp;Anmeldung!$G$36&amp;" / "&amp;Anmeldung!$J$36)&lt;&gt;Anmeldung!$S$31),Anmeldung!$B$36&amp;": "&amp;Anmeldung!$D$36&amp;", "&amp;Anmeldung!$E$36&amp;" / "&amp;Anmeldung!$G$36&amp;" / "&amp;Anmeldung!$J$36,"")</f>
        <v/>
      </c>
      <c r="DE23" t="str">
        <f>IF(AND(29&lt;&gt;24,Anmeldung!$D$36&lt;&gt;"",(Anmeldung!$B$36&amp;": "&amp;Anmeldung!$D$36&amp;", "&amp;Anmeldung!$E$36&amp;" / "&amp;Anmeldung!$G$36&amp;" / "&amp;Anmeldung!$J$36)&lt;&gt;Anmeldung!$R$31),Anmeldung!$B$36&amp;": "&amp;Anmeldung!$D$36&amp;", "&amp;Anmeldung!$E$36&amp;" / "&amp;Anmeldung!$G$36&amp;" / "&amp;Anmeldung!$J$36,"")</f>
        <v/>
      </c>
      <c r="DF23" t="str">
        <f>IF(AND(28&lt;&gt;23,Anmeldung!$D$36&lt;&gt;"",Anmeldung!$U$36="Ja",Anmeldung!$G$36=Anmeldung!$G$31,Anmeldung!$J$36=Anmeldung!$J$31),Anmeldung!$B$36&amp;": "&amp;Anmeldung!$D$36&amp;", "&amp;Anmeldung!$E$36&amp;" / "&amp;Anmeldung!$G$36&amp;" / "&amp;Anmeldung!$J$36,"")</f>
        <v/>
      </c>
      <c r="DI23" t="str">
        <f>IF(AND(29&lt;&gt;25,Anmeldung!$D$36&lt;&gt;"",Anmeldung!$G$36=Anmeldung!$G$32,Anmeldung!$J$36=Anmeldung!$J$32),Anmeldung!$B$36&amp;": "&amp;Anmeldung!$D$36&amp;", "&amp;Anmeldung!$E$36&amp;" / "&amp;Anmeldung!$G$36&amp;" / "&amp;Anmeldung!$J$36,"")</f>
        <v/>
      </c>
      <c r="DJ23" t="str">
        <f>IF(AND(29&lt;&gt;25,Anmeldung!$D$36&lt;&gt;"",Anmeldung!$G$36=Anmeldung!$G$32,Anmeldung!$J$36=Anmeldung!$J$32,(Anmeldung!$B$36&amp;": "&amp;Anmeldung!$D$36&amp;", "&amp;Anmeldung!$E$36&amp;" / "&amp;Anmeldung!$G$36&amp;" / "&amp;Anmeldung!$J$36)&lt;&gt;Anmeldung!$P$32),Anmeldung!$B$36&amp;": "&amp;Anmeldung!$D$36&amp;", "&amp;Anmeldung!$E$36&amp;" / "&amp;Anmeldung!$G$36&amp;" / "&amp;Anmeldung!$J$36,"")</f>
        <v/>
      </c>
      <c r="DK23" t="str">
        <f>IF(AND(29&lt;&gt;25,Anmeldung!$D$36&lt;&gt;"",Anmeldung!$G$36=Anmeldung!$G$32,Anmeldung!$J$36=Anmeldung!$J$32,(Anmeldung!$B$36&amp;": "&amp;Anmeldung!$D$36&amp;", "&amp;Anmeldung!$E$36&amp;" / "&amp;Anmeldung!$G$36&amp;" / "&amp;Anmeldung!$J$36)&lt;&gt;Anmeldung!$O$32),Anmeldung!$B$36&amp;": "&amp;Anmeldung!$D$36&amp;", "&amp;Anmeldung!$E$36&amp;" / "&amp;Anmeldung!$G$36&amp;" / "&amp;Anmeldung!$J$36,"")</f>
        <v/>
      </c>
      <c r="DL23" t="str">
        <f>IF(AND(29&lt;&gt;25,Anmeldung!$D$36&lt;&gt;"",Anmeldung!$G$36&lt;&gt;Anmeldung!$G$32,(Anmeldung!$B$36&amp;": "&amp;Anmeldung!$D$36&amp;", "&amp;Anmeldung!$E$36&amp;" / "&amp;Anmeldung!$G$36&amp;" / "&amp;Anmeldung!$J$36)&lt;&gt;Anmeldung!$S$32),Anmeldung!$B$36&amp;": "&amp;Anmeldung!$D$36&amp;", "&amp;Anmeldung!$E$36&amp;" / "&amp;Anmeldung!$G$36&amp;" / "&amp;Anmeldung!$J$36,"")</f>
        <v/>
      </c>
      <c r="DM23" t="str">
        <f>IF(AND(29&lt;&gt;25,Anmeldung!$D$36&lt;&gt;"",(Anmeldung!$B$36&amp;": "&amp;Anmeldung!$D$36&amp;", "&amp;Anmeldung!$E$36&amp;" / "&amp;Anmeldung!$G$36&amp;" / "&amp;Anmeldung!$J$36)&lt;&gt;Anmeldung!$R$32),Anmeldung!$B$36&amp;": "&amp;Anmeldung!$D$36&amp;", "&amp;Anmeldung!$E$36&amp;" / "&amp;Anmeldung!$G$36&amp;" / "&amp;Anmeldung!$J$36,"")</f>
        <v/>
      </c>
      <c r="DN23" t="str">
        <f>IF(AND(28&lt;&gt;24,Anmeldung!$D$36&lt;&gt;"",Anmeldung!$U$36="Ja",Anmeldung!$G$36=Anmeldung!$G$32,Anmeldung!$J$36=Anmeldung!$J$32),Anmeldung!$B$36&amp;": "&amp;Anmeldung!$D$36&amp;", "&amp;Anmeldung!$E$36&amp;" / "&amp;Anmeldung!$G$36&amp;" / "&amp;Anmeldung!$J$36,"")</f>
        <v/>
      </c>
      <c r="DQ23" t="str">
        <f>IF(AND(29&lt;&gt;26,Anmeldung!$D$36&lt;&gt;"",Anmeldung!$G$36=Anmeldung!$G$33,Anmeldung!$J$36=Anmeldung!$J$33),Anmeldung!$B$36&amp;": "&amp;Anmeldung!$D$36&amp;", "&amp;Anmeldung!$E$36&amp;" / "&amp;Anmeldung!$G$36&amp;" / "&amp;Anmeldung!$J$36,"")</f>
        <v/>
      </c>
      <c r="DR23" t="str">
        <f>IF(AND(29&lt;&gt;26,Anmeldung!$D$36&lt;&gt;"",Anmeldung!$G$36=Anmeldung!$G$33,Anmeldung!$J$36=Anmeldung!$J$33,(Anmeldung!$B$36&amp;": "&amp;Anmeldung!$D$36&amp;", "&amp;Anmeldung!$E$36&amp;" / "&amp;Anmeldung!$G$36&amp;" / "&amp;Anmeldung!$J$36)&lt;&gt;Anmeldung!$P$33),Anmeldung!$B$36&amp;": "&amp;Anmeldung!$D$36&amp;", "&amp;Anmeldung!$E$36&amp;" / "&amp;Anmeldung!$G$36&amp;" / "&amp;Anmeldung!$J$36,"")</f>
        <v/>
      </c>
      <c r="DS23" t="str">
        <f>IF(AND(29&lt;&gt;26,Anmeldung!$D$36&lt;&gt;"",Anmeldung!$G$36=Anmeldung!$G$33,Anmeldung!$J$36=Anmeldung!$J$33,(Anmeldung!$B$36&amp;": "&amp;Anmeldung!$D$36&amp;", "&amp;Anmeldung!$E$36&amp;" / "&amp;Anmeldung!$G$36&amp;" / "&amp;Anmeldung!$J$36)&lt;&gt;Anmeldung!$O$33),Anmeldung!$B$36&amp;": "&amp;Anmeldung!$D$36&amp;", "&amp;Anmeldung!$E$36&amp;" / "&amp;Anmeldung!$G$36&amp;" / "&amp;Anmeldung!$J$36,"")</f>
        <v/>
      </c>
      <c r="DT23" t="str">
        <f>IF(AND(29&lt;&gt;26,Anmeldung!$D$36&lt;&gt;"",Anmeldung!$G$36&lt;&gt;Anmeldung!$G$33,(Anmeldung!$B$36&amp;": "&amp;Anmeldung!$D$36&amp;", "&amp;Anmeldung!$E$36&amp;" / "&amp;Anmeldung!$G$36&amp;" / "&amp;Anmeldung!$J$36)&lt;&gt;Anmeldung!$S$33),Anmeldung!$B$36&amp;": "&amp;Anmeldung!$D$36&amp;", "&amp;Anmeldung!$E$36&amp;" / "&amp;Anmeldung!$G$36&amp;" / "&amp;Anmeldung!$J$36,"")</f>
        <v/>
      </c>
      <c r="DU23" t="str">
        <f>IF(AND(29&lt;&gt;26,Anmeldung!$D$36&lt;&gt;"",(Anmeldung!$B$36&amp;": "&amp;Anmeldung!$D$36&amp;", "&amp;Anmeldung!$E$36&amp;" / "&amp;Anmeldung!$G$36&amp;" / "&amp;Anmeldung!$J$36)&lt;&gt;Anmeldung!$R$33),Anmeldung!$B$36&amp;": "&amp;Anmeldung!$D$36&amp;", "&amp;Anmeldung!$E$36&amp;" / "&amp;Anmeldung!$G$36&amp;" / "&amp;Anmeldung!$J$36,"")</f>
        <v/>
      </c>
      <c r="DV23" t="str">
        <f>IF(AND(28&lt;&gt;25,Anmeldung!$D$36&lt;&gt;"",Anmeldung!$U$36="Ja",Anmeldung!$G$36=Anmeldung!$G$33,Anmeldung!$J$36=Anmeldung!$J$33),Anmeldung!$B$36&amp;": "&amp;Anmeldung!$D$36&amp;", "&amp;Anmeldung!$E$36&amp;" / "&amp;Anmeldung!$G$36&amp;" / "&amp;Anmeldung!$J$36,"")</f>
        <v/>
      </c>
      <c r="DY23" t="str">
        <f>IF(AND(29&lt;&gt;27,Anmeldung!$D$36&lt;&gt;"",Anmeldung!$G$36=Anmeldung!$G$34,Anmeldung!$J$36=Anmeldung!$J$34),Anmeldung!$B$36&amp;": "&amp;Anmeldung!$D$36&amp;", "&amp;Anmeldung!$E$36&amp;" / "&amp;Anmeldung!$G$36&amp;" / "&amp;Anmeldung!$J$36,"")</f>
        <v/>
      </c>
      <c r="DZ23" t="str">
        <f>IF(AND(29&lt;&gt;27,Anmeldung!$D$36&lt;&gt;"",Anmeldung!$G$36=Anmeldung!$G$34,Anmeldung!$J$36=Anmeldung!$J$34,(Anmeldung!$B$36&amp;": "&amp;Anmeldung!$D$36&amp;", "&amp;Anmeldung!$E$36&amp;" / "&amp;Anmeldung!$G$36&amp;" / "&amp;Anmeldung!$J$36)&lt;&gt;Anmeldung!$P$34),Anmeldung!$B$36&amp;": "&amp;Anmeldung!$D$36&amp;", "&amp;Anmeldung!$E$36&amp;" / "&amp;Anmeldung!$G$36&amp;" / "&amp;Anmeldung!$J$36,"")</f>
        <v/>
      </c>
      <c r="EA23" t="str">
        <f>IF(AND(29&lt;&gt;27,Anmeldung!$D$36&lt;&gt;"",Anmeldung!$G$36=Anmeldung!$G$34,Anmeldung!$J$36=Anmeldung!$J$34,(Anmeldung!$B$36&amp;": "&amp;Anmeldung!$D$36&amp;", "&amp;Anmeldung!$E$36&amp;" / "&amp;Anmeldung!$G$36&amp;" / "&amp;Anmeldung!$J$36)&lt;&gt;Anmeldung!$O$34),Anmeldung!$B$36&amp;": "&amp;Anmeldung!$D$36&amp;", "&amp;Anmeldung!$E$36&amp;" / "&amp;Anmeldung!$G$36&amp;" / "&amp;Anmeldung!$J$36,"")</f>
        <v/>
      </c>
      <c r="EB23" t="str">
        <f>IF(AND(29&lt;&gt;27,Anmeldung!$D$36&lt;&gt;"",Anmeldung!$G$36&lt;&gt;Anmeldung!$G$34,(Anmeldung!$B$36&amp;": "&amp;Anmeldung!$D$36&amp;", "&amp;Anmeldung!$E$36&amp;" / "&amp;Anmeldung!$G$36&amp;" / "&amp;Anmeldung!$J$36)&lt;&gt;Anmeldung!$S$34),Anmeldung!$B$36&amp;": "&amp;Anmeldung!$D$36&amp;", "&amp;Anmeldung!$E$36&amp;" / "&amp;Anmeldung!$G$36&amp;" / "&amp;Anmeldung!$J$36,"")</f>
        <v/>
      </c>
      <c r="EC23" t="str">
        <f>IF(AND(29&lt;&gt;27,Anmeldung!$D$36&lt;&gt;"",(Anmeldung!$B$36&amp;": "&amp;Anmeldung!$D$36&amp;", "&amp;Anmeldung!$E$36&amp;" / "&amp;Anmeldung!$G$36&amp;" / "&amp;Anmeldung!$J$36)&lt;&gt;Anmeldung!$R$34),Anmeldung!$B$36&amp;": "&amp;Anmeldung!$D$36&amp;", "&amp;Anmeldung!$E$36&amp;" / "&amp;Anmeldung!$G$36&amp;" / "&amp;Anmeldung!$J$36,"")</f>
        <v/>
      </c>
      <c r="ED23" t="str">
        <f>IF(AND(28&lt;&gt;26,Anmeldung!$D$36&lt;&gt;"",Anmeldung!$U$36="Ja",Anmeldung!$G$36=Anmeldung!$G$34,Anmeldung!$J$36=Anmeldung!$J$34),Anmeldung!$B$36&amp;": "&amp;Anmeldung!$D$36&amp;", "&amp;Anmeldung!$E$36&amp;" / "&amp;Anmeldung!$G$36&amp;" / "&amp;Anmeldung!$J$36,"")</f>
        <v/>
      </c>
      <c r="EG23" t="str">
        <f>IF(AND(29&lt;&gt;28,Anmeldung!$D$36&lt;&gt;"",Anmeldung!$G$36=Anmeldung!$G$35,Anmeldung!$J$36=Anmeldung!$J$35),Anmeldung!$B$36&amp;": "&amp;Anmeldung!$D$36&amp;", "&amp;Anmeldung!$E$36&amp;" / "&amp;Anmeldung!$G$36&amp;" / "&amp;Anmeldung!$J$36,"")</f>
        <v/>
      </c>
      <c r="EH23" t="str">
        <f>IF(AND(29&lt;&gt;28,Anmeldung!$D$36&lt;&gt;"",Anmeldung!$G$36=Anmeldung!$G$35,Anmeldung!$J$36=Anmeldung!$J$35,(Anmeldung!$B$36&amp;": "&amp;Anmeldung!$D$36&amp;", "&amp;Anmeldung!$E$36&amp;" / "&amp;Anmeldung!$G$36&amp;" / "&amp;Anmeldung!$J$36)&lt;&gt;Anmeldung!$P$35),Anmeldung!$B$36&amp;": "&amp;Anmeldung!$D$36&amp;", "&amp;Anmeldung!$E$36&amp;" / "&amp;Anmeldung!$G$36&amp;" / "&amp;Anmeldung!$J$36,"")</f>
        <v/>
      </c>
      <c r="EI23" t="str">
        <f>IF(AND(29&lt;&gt;28,Anmeldung!$D$36&lt;&gt;"",Anmeldung!$G$36=Anmeldung!$G$35,Anmeldung!$J$36=Anmeldung!$J$35,(Anmeldung!$B$36&amp;": "&amp;Anmeldung!$D$36&amp;", "&amp;Anmeldung!$E$36&amp;" / "&amp;Anmeldung!$G$36&amp;" / "&amp;Anmeldung!$J$36)&lt;&gt;Anmeldung!$O$35),Anmeldung!$B$36&amp;": "&amp;Anmeldung!$D$36&amp;", "&amp;Anmeldung!$E$36&amp;" / "&amp;Anmeldung!$G$36&amp;" / "&amp;Anmeldung!$J$36,"")</f>
        <v/>
      </c>
      <c r="EJ23" t="str">
        <f>IF(AND(29&lt;&gt;28,Anmeldung!$D$36&lt;&gt;"",Anmeldung!$G$36&lt;&gt;Anmeldung!$G$35,(Anmeldung!$B$36&amp;": "&amp;Anmeldung!$D$36&amp;", "&amp;Anmeldung!$E$36&amp;" / "&amp;Anmeldung!$G$36&amp;" / "&amp;Anmeldung!$J$36)&lt;&gt;Anmeldung!$S$35),Anmeldung!$B$36&amp;": "&amp;Anmeldung!$D$36&amp;", "&amp;Anmeldung!$E$36&amp;" / "&amp;Anmeldung!$G$36&amp;" / "&amp;Anmeldung!$J$36,"")</f>
        <v/>
      </c>
      <c r="EK23" t="str">
        <f>IF(AND(29&lt;&gt;28,Anmeldung!$D$36&lt;&gt;"",(Anmeldung!$B$36&amp;": "&amp;Anmeldung!$D$36&amp;", "&amp;Anmeldung!$E$36&amp;" / "&amp;Anmeldung!$G$36&amp;" / "&amp;Anmeldung!$J$36)&lt;&gt;Anmeldung!$R$35),Anmeldung!$B$36&amp;": "&amp;Anmeldung!$D$36&amp;", "&amp;Anmeldung!$E$36&amp;" / "&amp;Anmeldung!$G$36&amp;" / "&amp;Anmeldung!$J$36,"")</f>
        <v/>
      </c>
      <c r="EL23" t="str">
        <f>IF(AND(28&lt;&gt;27,Anmeldung!$D$36&lt;&gt;"",Anmeldung!$U$36="Ja",Anmeldung!$G$36=Anmeldung!$G$35,Anmeldung!$J$36=Anmeldung!$J$35),Anmeldung!$B$36&amp;": "&amp;Anmeldung!$D$36&amp;", "&amp;Anmeldung!$E$36&amp;" / "&amp;Anmeldung!$G$36&amp;" / "&amp;Anmeldung!$J$36,"")</f>
        <v/>
      </c>
      <c r="EO23" t="str">
        <f>IF(AND(29&lt;&gt;29,Anmeldung!$D$36&lt;&gt;"",Anmeldung!$G$36=Anmeldung!$G$36,Anmeldung!$J$36=Anmeldung!$J$36),Anmeldung!$B$36&amp;": "&amp;Anmeldung!$D$36&amp;", "&amp;Anmeldung!$E$36&amp;" / "&amp;Anmeldung!$G$36&amp;" / "&amp;Anmeldung!$J$36,"")</f>
        <v/>
      </c>
      <c r="EP23" t="str">
        <f>IF(AND(29&lt;&gt;29,Anmeldung!$D$36&lt;&gt;"",Anmeldung!$G$36=Anmeldung!$G$36,Anmeldung!$J$36=Anmeldung!$J$36,(Anmeldung!$B$36&amp;": "&amp;Anmeldung!$D$36&amp;", "&amp;Anmeldung!$E$36&amp;" / "&amp;Anmeldung!$G$36&amp;" / "&amp;Anmeldung!$J$36)&lt;&gt;Anmeldung!$P$36),Anmeldung!$B$36&amp;": "&amp;Anmeldung!$D$36&amp;", "&amp;Anmeldung!$E$36&amp;" / "&amp;Anmeldung!$G$36&amp;" / "&amp;Anmeldung!$J$36,"")</f>
        <v/>
      </c>
      <c r="EQ23" t="str">
        <f>IF(AND(29&lt;&gt;29,Anmeldung!$D$36&lt;&gt;"",Anmeldung!$G$36=Anmeldung!$G$36,Anmeldung!$J$36=Anmeldung!$J$36,(Anmeldung!$B$36&amp;": "&amp;Anmeldung!$D$36&amp;", "&amp;Anmeldung!$E$36&amp;" / "&amp;Anmeldung!$G$36&amp;" / "&amp;Anmeldung!$J$36)&lt;&gt;Anmeldung!$O$36),Anmeldung!$B$36&amp;": "&amp;Anmeldung!$D$36&amp;", "&amp;Anmeldung!$E$36&amp;" / "&amp;Anmeldung!$G$36&amp;" / "&amp;Anmeldung!$J$36,"")</f>
        <v/>
      </c>
      <c r="ER23" t="str">
        <f>IF(AND(29&lt;&gt;29,Anmeldung!$D$36&lt;&gt;"",Anmeldung!$G$36&lt;&gt;Anmeldung!$G$36,(Anmeldung!$B$36&amp;": "&amp;Anmeldung!$D$36&amp;", "&amp;Anmeldung!$E$36&amp;" / "&amp;Anmeldung!$G$36&amp;" / "&amp;Anmeldung!$J$36)&lt;&gt;Anmeldung!$S$36),Anmeldung!$B$36&amp;": "&amp;Anmeldung!$D$36&amp;", "&amp;Anmeldung!$E$36&amp;" / "&amp;Anmeldung!$G$36&amp;" / "&amp;Anmeldung!$J$36,"")</f>
        <v/>
      </c>
      <c r="ES23" t="str">
        <f>IF(AND(29&lt;&gt;29,Anmeldung!$D$36&lt;&gt;"",(Anmeldung!$B$36&amp;": "&amp;Anmeldung!$D$36&amp;", "&amp;Anmeldung!$E$36&amp;" / "&amp;Anmeldung!$G$36&amp;" / "&amp;Anmeldung!$J$36)&lt;&gt;Anmeldung!$R$36),Anmeldung!$B$36&amp;": "&amp;Anmeldung!$D$36&amp;", "&amp;Anmeldung!$E$36&amp;" / "&amp;Anmeldung!$G$36&amp;" / "&amp;Anmeldung!$J$36,"")</f>
        <v/>
      </c>
      <c r="ET23" t="str">
        <f>IF(AND(28&lt;&gt;28,Anmeldung!$D$36&lt;&gt;"",Anmeldung!$U$36="Ja",Anmeldung!$G$36=Anmeldung!$G$36,Anmeldung!$J$36=Anmeldung!$J$36),Anmeldung!$B$36&amp;": "&amp;Anmeldung!$D$36&amp;", "&amp;Anmeldung!$E$36&amp;" / "&amp;Anmeldung!$G$36&amp;" / "&amp;Anmeldung!$J$36,"")</f>
        <v/>
      </c>
      <c r="EW23" t="str">
        <f>IF(AND(29&lt;&gt;30,Anmeldung!$D$36&lt;&gt;"",Anmeldung!$G$36=Anmeldung!$G$37,Anmeldung!$J$36=Anmeldung!$J$37),Anmeldung!$B$36&amp;": "&amp;Anmeldung!$D$36&amp;", "&amp;Anmeldung!$E$36&amp;" / "&amp;Anmeldung!$G$36&amp;" / "&amp;Anmeldung!$J$36,"")</f>
        <v/>
      </c>
      <c r="EX23" t="str">
        <f>IF(AND(29&lt;&gt;30,Anmeldung!$D$36&lt;&gt;"",Anmeldung!$G$36=Anmeldung!$G$37,Anmeldung!$J$36=Anmeldung!$J$37,(Anmeldung!$B$36&amp;": "&amp;Anmeldung!$D$36&amp;", "&amp;Anmeldung!$E$36&amp;" / "&amp;Anmeldung!$G$36&amp;" / "&amp;Anmeldung!$J$36)&lt;&gt;Anmeldung!$P$37),Anmeldung!$B$36&amp;": "&amp;Anmeldung!$D$36&amp;", "&amp;Anmeldung!$E$36&amp;" / "&amp;Anmeldung!$G$36&amp;" / "&amp;Anmeldung!$J$36,"")</f>
        <v/>
      </c>
      <c r="EY23" t="str">
        <f>IF(AND(29&lt;&gt;30,Anmeldung!$D$36&lt;&gt;"",Anmeldung!$G$36=Anmeldung!$G$37,Anmeldung!$J$36=Anmeldung!$J$37,(Anmeldung!$B$36&amp;": "&amp;Anmeldung!$D$36&amp;", "&amp;Anmeldung!$E$36&amp;" / "&amp;Anmeldung!$G$36&amp;" / "&amp;Anmeldung!$J$36)&lt;&gt;Anmeldung!$O$37),Anmeldung!$B$36&amp;": "&amp;Anmeldung!$D$36&amp;", "&amp;Anmeldung!$E$36&amp;" / "&amp;Anmeldung!$G$36&amp;" / "&amp;Anmeldung!$J$36,"")</f>
        <v/>
      </c>
      <c r="EZ23" t="str">
        <f>IF(AND(29&lt;&gt;30,Anmeldung!$D$36&lt;&gt;"",Anmeldung!$G$36&lt;&gt;Anmeldung!$G$37,(Anmeldung!$B$36&amp;": "&amp;Anmeldung!$D$36&amp;", "&amp;Anmeldung!$E$36&amp;" / "&amp;Anmeldung!$G$36&amp;" / "&amp;Anmeldung!$J$36)&lt;&gt;Anmeldung!$S$37),Anmeldung!$B$36&amp;": "&amp;Anmeldung!$D$36&amp;", "&amp;Anmeldung!$E$36&amp;" / "&amp;Anmeldung!$G$36&amp;" / "&amp;Anmeldung!$J$36,"")</f>
        <v/>
      </c>
      <c r="FA23" t="str">
        <f>IF(AND(29&lt;&gt;30,Anmeldung!$D$36&lt;&gt;"",(Anmeldung!$B$36&amp;": "&amp;Anmeldung!$D$36&amp;", "&amp;Anmeldung!$E$36&amp;" / "&amp;Anmeldung!$G$36&amp;" / "&amp;Anmeldung!$J$36)&lt;&gt;Anmeldung!$R$37),Anmeldung!$B$36&amp;": "&amp;Anmeldung!$D$36&amp;", "&amp;Anmeldung!$E$36&amp;" / "&amp;Anmeldung!$G$36&amp;" / "&amp;Anmeldung!$J$36,"")</f>
        <v/>
      </c>
      <c r="FB23" t="str">
        <f>IF(AND(28&lt;&gt;29,Anmeldung!$D$36&lt;&gt;"",Anmeldung!$U$36="Ja",Anmeldung!$G$36=Anmeldung!$G$37,Anmeldung!$J$36=Anmeldung!$J$37),Anmeldung!$B$36&amp;": "&amp;Anmeldung!$D$36&amp;", "&amp;Anmeldung!$E$36&amp;" / "&amp;Anmeldung!$G$36&amp;" / "&amp;Anmeldung!$J$36,"")</f>
        <v/>
      </c>
      <c r="FE23" t="str">
        <f>IF(AND(29&lt;&gt;31,Anmeldung!$D$36&lt;&gt;"",Anmeldung!$G$36=Anmeldung!$G$38,Anmeldung!$J$36=Anmeldung!$J$38),Anmeldung!$B$36&amp;": "&amp;Anmeldung!$D$36&amp;", "&amp;Anmeldung!$E$36&amp;" / "&amp;Anmeldung!$G$36&amp;" / "&amp;Anmeldung!$J$36,"")</f>
        <v/>
      </c>
      <c r="FF23" t="str">
        <f>IF(AND(29&lt;&gt;31,Anmeldung!$D$36&lt;&gt;"",Anmeldung!$G$36=Anmeldung!$G$38,Anmeldung!$J$36=Anmeldung!$J$38,(Anmeldung!$B$36&amp;": "&amp;Anmeldung!$D$36&amp;", "&amp;Anmeldung!$E$36&amp;" / "&amp;Anmeldung!$G$36&amp;" / "&amp;Anmeldung!$J$36)&lt;&gt;Anmeldung!$P$38),Anmeldung!$B$36&amp;": "&amp;Anmeldung!$D$36&amp;", "&amp;Anmeldung!$E$36&amp;" / "&amp;Anmeldung!$G$36&amp;" / "&amp;Anmeldung!$J$36,"")</f>
        <v/>
      </c>
      <c r="FG23" t="str">
        <f>IF(AND(29&lt;&gt;31,Anmeldung!$D$36&lt;&gt;"",Anmeldung!$G$36=Anmeldung!$G$38,Anmeldung!$J$36=Anmeldung!$J$38,(Anmeldung!$B$36&amp;": "&amp;Anmeldung!$D$36&amp;", "&amp;Anmeldung!$E$36&amp;" / "&amp;Anmeldung!$G$36&amp;" / "&amp;Anmeldung!$J$36)&lt;&gt;Anmeldung!$O$38),Anmeldung!$B$36&amp;": "&amp;Anmeldung!$D$36&amp;", "&amp;Anmeldung!$E$36&amp;" / "&amp;Anmeldung!$G$36&amp;" / "&amp;Anmeldung!$J$36,"")</f>
        <v/>
      </c>
      <c r="FH23" t="str">
        <f>IF(AND(29&lt;&gt;31,Anmeldung!$D$36&lt;&gt;"",Anmeldung!$G$36&lt;&gt;Anmeldung!$G$38,(Anmeldung!$B$36&amp;": "&amp;Anmeldung!$D$36&amp;", "&amp;Anmeldung!$E$36&amp;" / "&amp;Anmeldung!$G$36&amp;" / "&amp;Anmeldung!$J$36)&lt;&gt;Anmeldung!$S$38),Anmeldung!$B$36&amp;": "&amp;Anmeldung!$D$36&amp;", "&amp;Anmeldung!$E$36&amp;" / "&amp;Anmeldung!$G$36&amp;" / "&amp;Anmeldung!$J$36,"")</f>
        <v/>
      </c>
      <c r="FI23" t="str">
        <f>IF(AND(29&lt;&gt;31,Anmeldung!$D$36&lt;&gt;"",(Anmeldung!$B$36&amp;": "&amp;Anmeldung!$D$36&amp;", "&amp;Anmeldung!$E$36&amp;" / "&amp;Anmeldung!$G$36&amp;" / "&amp;Anmeldung!$J$36)&lt;&gt;Anmeldung!$R$38),Anmeldung!$B$36&amp;": "&amp;Anmeldung!$D$36&amp;", "&amp;Anmeldung!$E$36&amp;" / "&amp;Anmeldung!$G$36&amp;" / "&amp;Anmeldung!$J$36,"")</f>
        <v/>
      </c>
      <c r="FJ23" t="str">
        <f>IF(AND(28&lt;&gt;30,Anmeldung!$D$36&lt;&gt;"",Anmeldung!$U$36="Ja",Anmeldung!$G$36=Anmeldung!$G$38,Anmeldung!$J$36=Anmeldung!$J$38),Anmeldung!$B$36&amp;": "&amp;Anmeldung!$D$36&amp;", "&amp;Anmeldung!$E$36&amp;" / "&amp;Anmeldung!$G$36&amp;" / "&amp;Anmeldung!$J$36,"")</f>
        <v/>
      </c>
      <c r="FM23" t="str">
        <f>IF(AND(29&lt;&gt;32,Anmeldung!$D$36&lt;&gt;"",Anmeldung!$G$36=Anmeldung!$G$39,Anmeldung!$J$36=Anmeldung!$J$39),Anmeldung!$B$36&amp;": "&amp;Anmeldung!$D$36&amp;", "&amp;Anmeldung!$E$36&amp;" / "&amp;Anmeldung!$G$36&amp;" / "&amp;Anmeldung!$J$36,"")</f>
        <v/>
      </c>
      <c r="FN23" t="str">
        <f>IF(AND(29&lt;&gt;32,Anmeldung!$D$36&lt;&gt;"",Anmeldung!$G$36=Anmeldung!$G$39,Anmeldung!$J$36=Anmeldung!$J$39,(Anmeldung!$B$36&amp;": "&amp;Anmeldung!$D$36&amp;", "&amp;Anmeldung!$E$36&amp;" / "&amp;Anmeldung!$G$36&amp;" / "&amp;Anmeldung!$J$36)&lt;&gt;Anmeldung!$P$39),Anmeldung!$B$36&amp;": "&amp;Anmeldung!$D$36&amp;", "&amp;Anmeldung!$E$36&amp;" / "&amp;Anmeldung!$G$36&amp;" / "&amp;Anmeldung!$J$36,"")</f>
        <v/>
      </c>
      <c r="FO23" t="str">
        <f>IF(AND(29&lt;&gt;32,Anmeldung!$D$36&lt;&gt;"",Anmeldung!$G$36=Anmeldung!$G$39,Anmeldung!$J$36=Anmeldung!$J$39,(Anmeldung!$B$36&amp;": "&amp;Anmeldung!$D$36&amp;", "&amp;Anmeldung!$E$36&amp;" / "&amp;Anmeldung!$G$36&amp;" / "&amp;Anmeldung!$J$36)&lt;&gt;Anmeldung!$O$39),Anmeldung!$B$36&amp;": "&amp;Anmeldung!$D$36&amp;", "&amp;Anmeldung!$E$36&amp;" / "&amp;Anmeldung!$G$36&amp;" / "&amp;Anmeldung!$J$36,"")</f>
        <v/>
      </c>
      <c r="FP23" t="str">
        <f>IF(AND(29&lt;&gt;32,Anmeldung!$D$36&lt;&gt;"",Anmeldung!$G$36&lt;&gt;Anmeldung!$G$39,(Anmeldung!$B$36&amp;": "&amp;Anmeldung!$D$36&amp;", "&amp;Anmeldung!$E$36&amp;" / "&amp;Anmeldung!$G$36&amp;" / "&amp;Anmeldung!$J$36)&lt;&gt;Anmeldung!$S$39),Anmeldung!$B$36&amp;": "&amp;Anmeldung!$D$36&amp;", "&amp;Anmeldung!$E$36&amp;" / "&amp;Anmeldung!$G$36&amp;" / "&amp;Anmeldung!$J$36,"")</f>
        <v/>
      </c>
      <c r="FQ23" t="str">
        <f>IF(AND(29&lt;&gt;32,Anmeldung!$D$36&lt;&gt;"",(Anmeldung!$B$36&amp;": "&amp;Anmeldung!$D$36&amp;", "&amp;Anmeldung!$E$36&amp;" / "&amp;Anmeldung!$G$36&amp;" / "&amp;Anmeldung!$J$36)&lt;&gt;Anmeldung!$R$39),Anmeldung!$B$36&amp;": "&amp;Anmeldung!$D$36&amp;", "&amp;Anmeldung!$E$36&amp;" / "&amp;Anmeldung!$G$36&amp;" / "&amp;Anmeldung!$J$36,"")</f>
        <v/>
      </c>
      <c r="FR23" t="str">
        <f>IF(AND(28&lt;&gt;31,Anmeldung!$D$36&lt;&gt;"",Anmeldung!$U$36="Ja",Anmeldung!$G$36=Anmeldung!$G$39,Anmeldung!$J$36=Anmeldung!$J$39),Anmeldung!$B$36&amp;": "&amp;Anmeldung!$D$36&amp;", "&amp;Anmeldung!$E$36&amp;" / "&amp;Anmeldung!$G$36&amp;" / "&amp;Anmeldung!$J$36,"")</f>
        <v/>
      </c>
      <c r="FU23" t="str">
        <f>IF(AND(29&lt;&gt;33,Anmeldung!$D$36&lt;&gt;"",Anmeldung!$G$36=Anmeldung!$G$40,Anmeldung!$J$36=Anmeldung!$J$40),Anmeldung!$B$36&amp;": "&amp;Anmeldung!$D$36&amp;", "&amp;Anmeldung!$E$36&amp;" / "&amp;Anmeldung!$G$36&amp;" / "&amp;Anmeldung!$J$36,"")</f>
        <v/>
      </c>
      <c r="FV23" t="str">
        <f>IF(AND(29&lt;&gt;33,Anmeldung!$D$36&lt;&gt;"",Anmeldung!$G$36=Anmeldung!$G$40,Anmeldung!$J$36=Anmeldung!$J$40,(Anmeldung!$B$36&amp;": "&amp;Anmeldung!$D$36&amp;", "&amp;Anmeldung!$E$36&amp;" / "&amp;Anmeldung!$G$36&amp;" / "&amp;Anmeldung!$J$36)&lt;&gt;Anmeldung!$P$40),Anmeldung!$B$36&amp;": "&amp;Anmeldung!$D$36&amp;", "&amp;Anmeldung!$E$36&amp;" / "&amp;Anmeldung!$G$36&amp;" / "&amp;Anmeldung!$J$36,"")</f>
        <v/>
      </c>
      <c r="FW23" t="str">
        <f>IF(AND(29&lt;&gt;33,Anmeldung!$D$36&lt;&gt;"",Anmeldung!$G$36=Anmeldung!$G$40,Anmeldung!$J$36=Anmeldung!$J$40,(Anmeldung!$B$36&amp;": "&amp;Anmeldung!$D$36&amp;", "&amp;Anmeldung!$E$36&amp;" / "&amp;Anmeldung!$G$36&amp;" / "&amp;Anmeldung!$J$36)&lt;&gt;Anmeldung!$O$40),Anmeldung!$B$36&amp;": "&amp;Anmeldung!$D$36&amp;", "&amp;Anmeldung!$E$36&amp;" / "&amp;Anmeldung!$G$36&amp;" / "&amp;Anmeldung!$J$36,"")</f>
        <v/>
      </c>
      <c r="FX23" t="str">
        <f>IF(AND(29&lt;&gt;33,Anmeldung!$D$36&lt;&gt;"",Anmeldung!$G$36&lt;&gt;Anmeldung!$G$40,(Anmeldung!$B$36&amp;": "&amp;Anmeldung!$D$36&amp;", "&amp;Anmeldung!$E$36&amp;" / "&amp;Anmeldung!$G$36&amp;" / "&amp;Anmeldung!$J$36)&lt;&gt;Anmeldung!$S$40),Anmeldung!$B$36&amp;": "&amp;Anmeldung!$D$36&amp;", "&amp;Anmeldung!$E$36&amp;" / "&amp;Anmeldung!$G$36&amp;" / "&amp;Anmeldung!$J$36,"")</f>
        <v/>
      </c>
      <c r="FY23" t="str">
        <f>IF(AND(29&lt;&gt;33,Anmeldung!$D$36&lt;&gt;"",(Anmeldung!$B$36&amp;": "&amp;Anmeldung!$D$36&amp;", "&amp;Anmeldung!$E$36&amp;" / "&amp;Anmeldung!$G$36&amp;" / "&amp;Anmeldung!$J$36)&lt;&gt;Anmeldung!$R$40),Anmeldung!$B$36&amp;": "&amp;Anmeldung!$D$36&amp;", "&amp;Anmeldung!$E$36&amp;" / "&amp;Anmeldung!$G$36&amp;" / "&amp;Anmeldung!$J$36,"")</f>
        <v/>
      </c>
      <c r="FZ23" t="str">
        <f>IF(AND(28&lt;&gt;32,Anmeldung!$D$36&lt;&gt;"",Anmeldung!$U$36="Ja",Anmeldung!$G$36=Anmeldung!$G$40,Anmeldung!$J$36=Anmeldung!$J$40),Anmeldung!$B$36&amp;": "&amp;Anmeldung!$D$36&amp;", "&amp;Anmeldung!$E$36&amp;" / "&amp;Anmeldung!$G$36&amp;" / "&amp;Anmeldung!$J$36,"")</f>
        <v/>
      </c>
      <c r="GC23" t="str">
        <f>IF(AND(29&lt;&gt;34,Anmeldung!$D$36&lt;&gt;"",Anmeldung!$G$36=Anmeldung!$G$41,Anmeldung!$J$36=Anmeldung!$J$41),Anmeldung!$B$36&amp;": "&amp;Anmeldung!$D$36&amp;", "&amp;Anmeldung!$E$36&amp;" / "&amp;Anmeldung!$G$36&amp;" / "&amp;Anmeldung!$J$36,"")</f>
        <v/>
      </c>
      <c r="GD23" t="str">
        <f>IF(AND(29&lt;&gt;34,Anmeldung!$D$36&lt;&gt;"",Anmeldung!$G$36=Anmeldung!$G$41,Anmeldung!$J$36=Anmeldung!$J$41,(Anmeldung!$B$36&amp;": "&amp;Anmeldung!$D$36&amp;", "&amp;Anmeldung!$E$36&amp;" / "&amp;Anmeldung!$G$36&amp;" / "&amp;Anmeldung!$J$36)&lt;&gt;Anmeldung!$P$41),Anmeldung!$B$36&amp;": "&amp;Anmeldung!$D$36&amp;", "&amp;Anmeldung!$E$36&amp;" / "&amp;Anmeldung!$G$36&amp;" / "&amp;Anmeldung!$J$36,"")</f>
        <v/>
      </c>
      <c r="GE23" t="str">
        <f>IF(AND(29&lt;&gt;34,Anmeldung!$D$36&lt;&gt;"",Anmeldung!$G$36=Anmeldung!$G$41,Anmeldung!$J$36=Anmeldung!$J$41,(Anmeldung!$B$36&amp;": "&amp;Anmeldung!$D$36&amp;", "&amp;Anmeldung!$E$36&amp;" / "&amp;Anmeldung!$G$36&amp;" / "&amp;Anmeldung!$J$36)&lt;&gt;Anmeldung!$O$41),Anmeldung!$B$36&amp;": "&amp;Anmeldung!$D$36&amp;", "&amp;Anmeldung!$E$36&amp;" / "&amp;Anmeldung!$G$36&amp;" / "&amp;Anmeldung!$J$36,"")</f>
        <v/>
      </c>
      <c r="GF23" t="str">
        <f>IF(AND(29&lt;&gt;34,Anmeldung!$D$36&lt;&gt;"",Anmeldung!$G$36&lt;&gt;Anmeldung!$G$41,(Anmeldung!$B$36&amp;": "&amp;Anmeldung!$D$36&amp;", "&amp;Anmeldung!$E$36&amp;" / "&amp;Anmeldung!$G$36&amp;" / "&amp;Anmeldung!$J$36)&lt;&gt;Anmeldung!$S$41),Anmeldung!$B$36&amp;": "&amp;Anmeldung!$D$36&amp;", "&amp;Anmeldung!$E$36&amp;" / "&amp;Anmeldung!$G$36&amp;" / "&amp;Anmeldung!$J$36,"")</f>
        <v/>
      </c>
      <c r="GG23" t="str">
        <f>IF(AND(29&lt;&gt;34,Anmeldung!$D$36&lt;&gt;"",(Anmeldung!$B$36&amp;": "&amp;Anmeldung!$D$36&amp;", "&amp;Anmeldung!$E$36&amp;" / "&amp;Anmeldung!$G$36&amp;" / "&amp;Anmeldung!$J$36)&lt;&gt;Anmeldung!$R$41),Anmeldung!$B$36&amp;": "&amp;Anmeldung!$D$36&amp;", "&amp;Anmeldung!$E$36&amp;" / "&amp;Anmeldung!$G$36&amp;" / "&amp;Anmeldung!$J$36,"")</f>
        <v/>
      </c>
      <c r="GH23" t="str">
        <f>IF(AND(28&lt;&gt;33,Anmeldung!$D$36&lt;&gt;"",Anmeldung!$U$36="Ja",Anmeldung!$G$36=Anmeldung!$G$41,Anmeldung!$J$36=Anmeldung!$J$41),Anmeldung!$B$36&amp;": "&amp;Anmeldung!$D$36&amp;", "&amp;Anmeldung!$E$36&amp;" / "&amp;Anmeldung!$G$36&amp;" / "&amp;Anmeldung!$J$36,"")</f>
        <v/>
      </c>
      <c r="GK23" t="str">
        <f>IF(AND(29&lt;&gt;35,Anmeldung!$D$36&lt;&gt;"",Anmeldung!$G$36=Anmeldung!$G$42,Anmeldung!$J$36=Anmeldung!$J$42),Anmeldung!$B$36&amp;": "&amp;Anmeldung!$D$36&amp;", "&amp;Anmeldung!$E$36&amp;" / "&amp;Anmeldung!$G$36&amp;" / "&amp;Anmeldung!$J$36,"")</f>
        <v/>
      </c>
      <c r="GL23" t="str">
        <f>IF(AND(29&lt;&gt;35,Anmeldung!$D$36&lt;&gt;"",Anmeldung!$G$36=Anmeldung!$G$42,Anmeldung!$J$36=Anmeldung!$J$42,(Anmeldung!$B$36&amp;": "&amp;Anmeldung!$D$36&amp;", "&amp;Anmeldung!$E$36&amp;" / "&amp;Anmeldung!$G$36&amp;" / "&amp;Anmeldung!$J$36)&lt;&gt;Anmeldung!$P$42),Anmeldung!$B$36&amp;": "&amp;Anmeldung!$D$36&amp;", "&amp;Anmeldung!$E$36&amp;" / "&amp;Anmeldung!$G$36&amp;" / "&amp;Anmeldung!$J$36,"")</f>
        <v/>
      </c>
      <c r="GM23" t="str">
        <f>IF(AND(29&lt;&gt;35,Anmeldung!$D$36&lt;&gt;"",Anmeldung!$G$36=Anmeldung!$G$42,Anmeldung!$J$36=Anmeldung!$J$42,(Anmeldung!$B$36&amp;": "&amp;Anmeldung!$D$36&amp;", "&amp;Anmeldung!$E$36&amp;" / "&amp;Anmeldung!$G$36&amp;" / "&amp;Anmeldung!$J$36)&lt;&gt;Anmeldung!$O$42),Anmeldung!$B$36&amp;": "&amp;Anmeldung!$D$36&amp;", "&amp;Anmeldung!$E$36&amp;" / "&amp;Anmeldung!$G$36&amp;" / "&amp;Anmeldung!$J$36,"")</f>
        <v/>
      </c>
      <c r="GN23" t="str">
        <f>IF(AND(29&lt;&gt;35,Anmeldung!$D$36&lt;&gt;"",Anmeldung!$G$36&lt;&gt;Anmeldung!$G$42,(Anmeldung!$B$36&amp;": "&amp;Anmeldung!$D$36&amp;", "&amp;Anmeldung!$E$36&amp;" / "&amp;Anmeldung!$G$36&amp;" / "&amp;Anmeldung!$J$36)&lt;&gt;Anmeldung!$S$42),Anmeldung!$B$36&amp;": "&amp;Anmeldung!$D$36&amp;", "&amp;Anmeldung!$E$36&amp;" / "&amp;Anmeldung!$G$36&amp;" / "&amp;Anmeldung!$J$36,"")</f>
        <v/>
      </c>
      <c r="GO23" t="str">
        <f>IF(AND(29&lt;&gt;35,Anmeldung!$D$36&lt;&gt;"",(Anmeldung!$B$36&amp;": "&amp;Anmeldung!$D$36&amp;", "&amp;Anmeldung!$E$36&amp;" / "&amp;Anmeldung!$G$36&amp;" / "&amp;Anmeldung!$J$36)&lt;&gt;Anmeldung!$R$42),Anmeldung!$B$36&amp;": "&amp;Anmeldung!$D$36&amp;", "&amp;Anmeldung!$E$36&amp;" / "&amp;Anmeldung!$G$36&amp;" / "&amp;Anmeldung!$J$36,"")</f>
        <v/>
      </c>
      <c r="GP23" t="str">
        <f>IF(AND(28&lt;&gt;34,Anmeldung!$D$36&lt;&gt;"",Anmeldung!$U$36="Ja",Anmeldung!$G$36=Anmeldung!$G$42,Anmeldung!$J$36=Anmeldung!$J$42),Anmeldung!$B$36&amp;": "&amp;Anmeldung!$D$36&amp;", "&amp;Anmeldung!$E$36&amp;" / "&amp;Anmeldung!$G$36&amp;" / "&amp;Anmeldung!$J$36,"")</f>
        <v/>
      </c>
      <c r="GS23" t="str">
        <f>IF(AND(29&lt;&gt;36,Anmeldung!$D$36&lt;&gt;"",Anmeldung!$G$36=Anmeldung!$G$43,Anmeldung!$J$36=Anmeldung!$J$43),Anmeldung!$B$36&amp;": "&amp;Anmeldung!$D$36&amp;", "&amp;Anmeldung!$E$36&amp;" / "&amp;Anmeldung!$G$36&amp;" / "&amp;Anmeldung!$J$36,"")</f>
        <v/>
      </c>
      <c r="GT23" t="str">
        <f>IF(AND(29&lt;&gt;36,Anmeldung!$D$36&lt;&gt;"",Anmeldung!$G$36=Anmeldung!$G$43,Anmeldung!$J$36=Anmeldung!$J$43,(Anmeldung!$B$36&amp;": "&amp;Anmeldung!$D$36&amp;", "&amp;Anmeldung!$E$36&amp;" / "&amp;Anmeldung!$G$36&amp;" / "&amp;Anmeldung!$J$36)&lt;&gt;Anmeldung!$P$43),Anmeldung!$B$36&amp;": "&amp;Anmeldung!$D$36&amp;", "&amp;Anmeldung!$E$36&amp;" / "&amp;Anmeldung!$G$36&amp;" / "&amp;Anmeldung!$J$36,"")</f>
        <v/>
      </c>
      <c r="GU23" t="str">
        <f>IF(AND(29&lt;&gt;36,Anmeldung!$D$36&lt;&gt;"",Anmeldung!$G$36=Anmeldung!$G$43,Anmeldung!$J$36=Anmeldung!$J$43,(Anmeldung!$B$36&amp;": "&amp;Anmeldung!$D$36&amp;", "&amp;Anmeldung!$E$36&amp;" / "&amp;Anmeldung!$G$36&amp;" / "&amp;Anmeldung!$J$36)&lt;&gt;Anmeldung!$O$43),Anmeldung!$B$36&amp;": "&amp;Anmeldung!$D$36&amp;", "&amp;Anmeldung!$E$36&amp;" / "&amp;Anmeldung!$G$36&amp;" / "&amp;Anmeldung!$J$36,"")</f>
        <v/>
      </c>
      <c r="GV23" t="str">
        <f>IF(AND(29&lt;&gt;36,Anmeldung!$D$36&lt;&gt;"",Anmeldung!$G$36&lt;&gt;Anmeldung!$G$43,(Anmeldung!$B$36&amp;": "&amp;Anmeldung!$D$36&amp;", "&amp;Anmeldung!$E$36&amp;" / "&amp;Anmeldung!$G$36&amp;" / "&amp;Anmeldung!$J$36)&lt;&gt;Anmeldung!$S$43),Anmeldung!$B$36&amp;": "&amp;Anmeldung!$D$36&amp;", "&amp;Anmeldung!$E$36&amp;" / "&amp;Anmeldung!$G$36&amp;" / "&amp;Anmeldung!$J$36,"")</f>
        <v/>
      </c>
      <c r="GW23" t="str">
        <f>IF(AND(29&lt;&gt;36,Anmeldung!$D$36&lt;&gt;"",(Anmeldung!$B$36&amp;": "&amp;Anmeldung!$D$36&amp;", "&amp;Anmeldung!$E$36&amp;" / "&amp;Anmeldung!$G$36&amp;" / "&amp;Anmeldung!$J$36)&lt;&gt;Anmeldung!$R$43),Anmeldung!$B$36&amp;": "&amp;Anmeldung!$D$36&amp;", "&amp;Anmeldung!$E$36&amp;" / "&amp;Anmeldung!$G$36&amp;" / "&amp;Anmeldung!$J$36,"")</f>
        <v/>
      </c>
      <c r="GX23" t="str">
        <f>IF(AND(28&lt;&gt;35,Anmeldung!$D$36&lt;&gt;"",Anmeldung!$U$36="Ja",Anmeldung!$G$36=Anmeldung!$G$43,Anmeldung!$J$36=Anmeldung!$J$43),Anmeldung!$B$36&amp;": "&amp;Anmeldung!$D$36&amp;", "&amp;Anmeldung!$E$36&amp;" / "&amp;Anmeldung!$G$36&amp;" / "&amp;Anmeldung!$J$36,"")</f>
        <v/>
      </c>
      <c r="HA23" t="str">
        <f>IF(AND(29&lt;&gt;37,Anmeldung!$D$36&lt;&gt;"",Anmeldung!$G$36=Anmeldung!$G$44,Anmeldung!$J$36=Anmeldung!$J$44),Anmeldung!$B$36&amp;": "&amp;Anmeldung!$D$36&amp;", "&amp;Anmeldung!$E$36&amp;" / "&amp;Anmeldung!$G$36&amp;" / "&amp;Anmeldung!$J$36,"")</f>
        <v/>
      </c>
      <c r="HB23" t="str">
        <f>IF(AND(29&lt;&gt;37,Anmeldung!$D$36&lt;&gt;"",Anmeldung!$G$36=Anmeldung!$G$44,Anmeldung!$J$36=Anmeldung!$J$44,(Anmeldung!$B$36&amp;": "&amp;Anmeldung!$D$36&amp;", "&amp;Anmeldung!$E$36&amp;" / "&amp;Anmeldung!$G$36&amp;" / "&amp;Anmeldung!$J$36)&lt;&gt;Anmeldung!$P$44),Anmeldung!$B$36&amp;": "&amp;Anmeldung!$D$36&amp;", "&amp;Anmeldung!$E$36&amp;" / "&amp;Anmeldung!$G$36&amp;" / "&amp;Anmeldung!$J$36,"")</f>
        <v/>
      </c>
      <c r="HC23" t="str">
        <f>IF(AND(29&lt;&gt;37,Anmeldung!$D$36&lt;&gt;"",Anmeldung!$G$36=Anmeldung!$G$44,Anmeldung!$J$36=Anmeldung!$J$44,(Anmeldung!$B$36&amp;": "&amp;Anmeldung!$D$36&amp;", "&amp;Anmeldung!$E$36&amp;" / "&amp;Anmeldung!$G$36&amp;" / "&amp;Anmeldung!$J$36)&lt;&gt;Anmeldung!$O$44),Anmeldung!$B$36&amp;": "&amp;Anmeldung!$D$36&amp;", "&amp;Anmeldung!$E$36&amp;" / "&amp;Anmeldung!$G$36&amp;" / "&amp;Anmeldung!$J$36,"")</f>
        <v/>
      </c>
      <c r="HD23" t="str">
        <f>IF(AND(29&lt;&gt;37,Anmeldung!$D$36&lt;&gt;"",Anmeldung!$G$36&lt;&gt;Anmeldung!$G$44,(Anmeldung!$B$36&amp;": "&amp;Anmeldung!$D$36&amp;", "&amp;Anmeldung!$E$36&amp;" / "&amp;Anmeldung!$G$36&amp;" / "&amp;Anmeldung!$J$36)&lt;&gt;Anmeldung!$S$44),Anmeldung!$B$36&amp;": "&amp;Anmeldung!$D$36&amp;", "&amp;Anmeldung!$E$36&amp;" / "&amp;Anmeldung!$G$36&amp;" / "&amp;Anmeldung!$J$36,"")</f>
        <v/>
      </c>
      <c r="HE23" t="str">
        <f>IF(AND(29&lt;&gt;37,Anmeldung!$D$36&lt;&gt;"",(Anmeldung!$B$36&amp;": "&amp;Anmeldung!$D$36&amp;", "&amp;Anmeldung!$E$36&amp;" / "&amp;Anmeldung!$G$36&amp;" / "&amp;Anmeldung!$J$36)&lt;&gt;Anmeldung!$R$44),Anmeldung!$B$36&amp;": "&amp;Anmeldung!$D$36&amp;", "&amp;Anmeldung!$E$36&amp;" / "&amp;Anmeldung!$G$36&amp;" / "&amp;Anmeldung!$J$36,"")</f>
        <v/>
      </c>
      <c r="HF23" t="str">
        <f>IF(AND(28&lt;&gt;36,Anmeldung!$D$36&lt;&gt;"",Anmeldung!$U$36="Ja",Anmeldung!$G$36=Anmeldung!$G$44,Anmeldung!$J$36=Anmeldung!$J$44),Anmeldung!$B$36&amp;": "&amp;Anmeldung!$D$36&amp;", "&amp;Anmeldung!$E$36&amp;" / "&amp;Anmeldung!$G$36&amp;" / "&amp;Anmeldung!$J$36,"")</f>
        <v/>
      </c>
      <c r="HI23" t="str">
        <f>IF(AND(29&lt;&gt;38,Anmeldung!$D$36&lt;&gt;"",Anmeldung!$G$36=Anmeldung!$G$45,Anmeldung!$J$36=Anmeldung!$J$45),Anmeldung!$B$36&amp;": "&amp;Anmeldung!$D$36&amp;", "&amp;Anmeldung!$E$36&amp;" / "&amp;Anmeldung!$G$36&amp;" / "&amp;Anmeldung!$J$36,"")</f>
        <v/>
      </c>
      <c r="HJ23" t="str">
        <f>IF(AND(29&lt;&gt;38,Anmeldung!$D$36&lt;&gt;"",Anmeldung!$G$36=Anmeldung!$G$45,Anmeldung!$J$36=Anmeldung!$J$45,(Anmeldung!$B$36&amp;": "&amp;Anmeldung!$D$36&amp;", "&amp;Anmeldung!$E$36&amp;" / "&amp;Anmeldung!$G$36&amp;" / "&amp;Anmeldung!$J$36)&lt;&gt;Anmeldung!$P$45),Anmeldung!$B$36&amp;": "&amp;Anmeldung!$D$36&amp;", "&amp;Anmeldung!$E$36&amp;" / "&amp;Anmeldung!$G$36&amp;" / "&amp;Anmeldung!$J$36,"")</f>
        <v/>
      </c>
      <c r="HK23" t="str">
        <f>IF(AND(29&lt;&gt;38,Anmeldung!$D$36&lt;&gt;"",Anmeldung!$G$36=Anmeldung!$G$45,Anmeldung!$J$36=Anmeldung!$J$45,(Anmeldung!$B$36&amp;": "&amp;Anmeldung!$D$36&amp;", "&amp;Anmeldung!$E$36&amp;" / "&amp;Anmeldung!$G$36&amp;" / "&amp;Anmeldung!$J$36)&lt;&gt;Anmeldung!$O$45),Anmeldung!$B$36&amp;": "&amp;Anmeldung!$D$36&amp;", "&amp;Anmeldung!$E$36&amp;" / "&amp;Anmeldung!$G$36&amp;" / "&amp;Anmeldung!$J$36,"")</f>
        <v/>
      </c>
      <c r="HL23" t="str">
        <f>IF(AND(29&lt;&gt;38,Anmeldung!$D$36&lt;&gt;"",Anmeldung!$G$36&lt;&gt;Anmeldung!$G$45,(Anmeldung!$B$36&amp;": "&amp;Anmeldung!$D$36&amp;", "&amp;Anmeldung!$E$36&amp;" / "&amp;Anmeldung!$G$36&amp;" / "&amp;Anmeldung!$J$36)&lt;&gt;Anmeldung!$S$45),Anmeldung!$B$36&amp;": "&amp;Anmeldung!$D$36&amp;", "&amp;Anmeldung!$E$36&amp;" / "&amp;Anmeldung!$G$36&amp;" / "&amp;Anmeldung!$J$36,"")</f>
        <v/>
      </c>
      <c r="HM23" t="str">
        <f>IF(AND(29&lt;&gt;38,Anmeldung!$D$36&lt;&gt;"",(Anmeldung!$B$36&amp;": "&amp;Anmeldung!$D$36&amp;", "&amp;Anmeldung!$E$36&amp;" / "&amp;Anmeldung!$G$36&amp;" / "&amp;Anmeldung!$J$36)&lt;&gt;Anmeldung!$R$45),Anmeldung!$B$36&amp;": "&amp;Anmeldung!$D$36&amp;", "&amp;Anmeldung!$E$36&amp;" / "&amp;Anmeldung!$G$36&amp;" / "&amp;Anmeldung!$J$36,"")</f>
        <v/>
      </c>
      <c r="HN23" t="str">
        <f>IF(AND(28&lt;&gt;37,Anmeldung!$D$36&lt;&gt;"",Anmeldung!$U$36="Ja",Anmeldung!$G$36=Anmeldung!$G$45,Anmeldung!$J$36=Anmeldung!$J$45),Anmeldung!$B$36&amp;": "&amp;Anmeldung!$D$36&amp;", "&amp;Anmeldung!$E$36&amp;" / "&amp;Anmeldung!$G$36&amp;" / "&amp;Anmeldung!$J$36,"")</f>
        <v/>
      </c>
      <c r="HQ23" t="str">
        <f>IF(AND(29&lt;&gt;39,Anmeldung!$D$36&lt;&gt;"",Anmeldung!$G$36=Anmeldung!$G$46,Anmeldung!$J$36=Anmeldung!$J$46),Anmeldung!$B$36&amp;": "&amp;Anmeldung!$D$36&amp;", "&amp;Anmeldung!$E$36&amp;" / "&amp;Anmeldung!$G$36&amp;" / "&amp;Anmeldung!$J$36,"")</f>
        <v/>
      </c>
      <c r="HR23" t="str">
        <f>IF(AND(29&lt;&gt;39,Anmeldung!$D$36&lt;&gt;"",Anmeldung!$G$36=Anmeldung!$G$46,Anmeldung!$J$36=Anmeldung!$J$46,(Anmeldung!$B$36&amp;": "&amp;Anmeldung!$D$36&amp;", "&amp;Anmeldung!$E$36&amp;" / "&amp;Anmeldung!$G$36&amp;" / "&amp;Anmeldung!$J$36)&lt;&gt;Anmeldung!$P$46),Anmeldung!$B$36&amp;": "&amp;Anmeldung!$D$36&amp;", "&amp;Anmeldung!$E$36&amp;" / "&amp;Anmeldung!$G$36&amp;" / "&amp;Anmeldung!$J$36,"")</f>
        <v/>
      </c>
      <c r="HS23" t="str">
        <f>IF(AND(29&lt;&gt;39,Anmeldung!$D$36&lt;&gt;"",Anmeldung!$G$36=Anmeldung!$G$46,Anmeldung!$J$36=Anmeldung!$J$46,(Anmeldung!$B$36&amp;": "&amp;Anmeldung!$D$36&amp;", "&amp;Anmeldung!$E$36&amp;" / "&amp;Anmeldung!$G$36&amp;" / "&amp;Anmeldung!$J$36)&lt;&gt;Anmeldung!$O$46),Anmeldung!$B$36&amp;": "&amp;Anmeldung!$D$36&amp;", "&amp;Anmeldung!$E$36&amp;" / "&amp;Anmeldung!$G$36&amp;" / "&amp;Anmeldung!$J$36,"")</f>
        <v/>
      </c>
      <c r="HT23" t="str">
        <f>IF(AND(29&lt;&gt;39,Anmeldung!$D$36&lt;&gt;"",Anmeldung!$G$36&lt;&gt;Anmeldung!$G$46,(Anmeldung!$B$36&amp;": "&amp;Anmeldung!$D$36&amp;", "&amp;Anmeldung!$E$36&amp;" / "&amp;Anmeldung!$G$36&amp;" / "&amp;Anmeldung!$J$36)&lt;&gt;Anmeldung!$S$46),Anmeldung!$B$36&amp;": "&amp;Anmeldung!$D$36&amp;", "&amp;Anmeldung!$E$36&amp;" / "&amp;Anmeldung!$G$36&amp;" / "&amp;Anmeldung!$J$36,"")</f>
        <v/>
      </c>
      <c r="HU23" t="str">
        <f>IF(AND(29&lt;&gt;39,Anmeldung!$D$36&lt;&gt;"",(Anmeldung!$B$36&amp;": "&amp;Anmeldung!$D$36&amp;", "&amp;Anmeldung!$E$36&amp;" / "&amp;Anmeldung!$G$36&amp;" / "&amp;Anmeldung!$J$36)&lt;&gt;Anmeldung!$R$46),Anmeldung!$B$36&amp;": "&amp;Anmeldung!$D$36&amp;", "&amp;Anmeldung!$E$36&amp;" / "&amp;Anmeldung!$G$36&amp;" / "&amp;Anmeldung!$J$36,"")</f>
        <v/>
      </c>
      <c r="HV23" t="str">
        <f>IF(AND(28&lt;&gt;38,Anmeldung!$D$36&lt;&gt;"",Anmeldung!$U$36="Ja",Anmeldung!$G$36=Anmeldung!$G$46,Anmeldung!$J$36=Anmeldung!$J$46),Anmeldung!$B$36&amp;": "&amp;Anmeldung!$D$36&amp;", "&amp;Anmeldung!$E$36&amp;" / "&amp;Anmeldung!$G$36&amp;" / "&amp;Anmeldung!$J$36,"")</f>
        <v/>
      </c>
      <c r="HY23" t="str">
        <f>IF(AND(29&lt;&gt;40,Anmeldung!$D$36&lt;&gt;"",Anmeldung!$G$36=Anmeldung!$G$47,Anmeldung!$J$36=Anmeldung!$J$47),Anmeldung!$B$36&amp;": "&amp;Anmeldung!$D$36&amp;", "&amp;Anmeldung!$E$36&amp;" / "&amp;Anmeldung!$G$36&amp;" / "&amp;Anmeldung!$J$36,"")</f>
        <v/>
      </c>
      <c r="HZ23" t="str">
        <f>IF(AND(29&lt;&gt;40,Anmeldung!$D$36&lt;&gt;"",Anmeldung!$G$36=Anmeldung!$G$47,Anmeldung!$J$36=Anmeldung!$J$47,(Anmeldung!$B$36&amp;": "&amp;Anmeldung!$D$36&amp;", "&amp;Anmeldung!$E$36&amp;" / "&amp;Anmeldung!$G$36&amp;" / "&amp;Anmeldung!$J$36)&lt;&gt;Anmeldung!$P$47),Anmeldung!$B$36&amp;": "&amp;Anmeldung!$D$36&amp;", "&amp;Anmeldung!$E$36&amp;" / "&amp;Anmeldung!$G$36&amp;" / "&amp;Anmeldung!$J$36,"")</f>
        <v/>
      </c>
      <c r="IA23" t="str">
        <f>IF(AND(29&lt;&gt;40,Anmeldung!$D$36&lt;&gt;"",Anmeldung!$G$36=Anmeldung!$G$47,Anmeldung!$J$36=Anmeldung!$J$47,(Anmeldung!$B$36&amp;": "&amp;Anmeldung!$D$36&amp;", "&amp;Anmeldung!$E$36&amp;" / "&amp;Anmeldung!$G$36&amp;" / "&amp;Anmeldung!$J$36)&lt;&gt;Anmeldung!$O$47),Anmeldung!$B$36&amp;": "&amp;Anmeldung!$D$36&amp;", "&amp;Anmeldung!$E$36&amp;" / "&amp;Anmeldung!$G$36&amp;" / "&amp;Anmeldung!$J$36,"")</f>
        <v/>
      </c>
      <c r="IB23" t="str">
        <f>IF(AND(29&lt;&gt;40,Anmeldung!$D$36&lt;&gt;"",Anmeldung!$G$36&lt;&gt;Anmeldung!$G$47,(Anmeldung!$B$36&amp;": "&amp;Anmeldung!$D$36&amp;", "&amp;Anmeldung!$E$36&amp;" / "&amp;Anmeldung!$G$36&amp;" / "&amp;Anmeldung!$J$36)&lt;&gt;Anmeldung!$S$47),Anmeldung!$B$36&amp;": "&amp;Anmeldung!$D$36&amp;", "&amp;Anmeldung!$E$36&amp;" / "&amp;Anmeldung!$G$36&amp;" / "&amp;Anmeldung!$J$36,"")</f>
        <v/>
      </c>
      <c r="IC23" t="str">
        <f>IF(AND(29&lt;&gt;40,Anmeldung!$D$36&lt;&gt;"",(Anmeldung!$B$36&amp;": "&amp;Anmeldung!$D$36&amp;", "&amp;Anmeldung!$E$36&amp;" / "&amp;Anmeldung!$G$36&amp;" / "&amp;Anmeldung!$J$36)&lt;&gt;Anmeldung!$R$47),Anmeldung!$B$36&amp;": "&amp;Anmeldung!$D$36&amp;", "&amp;Anmeldung!$E$36&amp;" / "&amp;Anmeldung!$G$36&amp;" / "&amp;Anmeldung!$J$36,"")</f>
        <v/>
      </c>
      <c r="ID23" t="str">
        <f>IF(AND(28&lt;&gt;39,Anmeldung!$D$36&lt;&gt;"",Anmeldung!$U$36="Ja",Anmeldung!$G$36=Anmeldung!$G$47,Anmeldung!$J$36=Anmeldung!$J$47),Anmeldung!$B$36&amp;": "&amp;Anmeldung!$D$36&amp;", "&amp;Anmeldung!$E$36&amp;" / "&amp;Anmeldung!$G$36&amp;" / "&amp;Anmeldung!$J$36,"")</f>
        <v/>
      </c>
    </row>
    <row r="24" spans="1:238" ht="14.25" customHeight="1" x14ac:dyDescent="0.3">
      <c r="A24" t="str">
        <f>IF(AND(30&lt;&gt;11,Anmeldung!$D$37&lt;&gt;"",Anmeldung!$G$37=Anmeldung!$G$18,Anmeldung!$J$37=Anmeldung!$J$18),Anmeldung!$B$37&amp;": "&amp;Anmeldung!$D$37&amp;", "&amp;Anmeldung!$E$37&amp;" / "&amp;Anmeldung!$G$37&amp;" / "&amp;Anmeldung!$J$37,"")</f>
        <v/>
      </c>
      <c r="B24" t="str">
        <f>IF(AND(30&lt;&gt;11,Anmeldung!$D$37&lt;&gt;"",Anmeldung!$G$37=Anmeldung!$G$18,Anmeldung!$J$37=Anmeldung!$J$18,(Anmeldung!$B$37&amp;": "&amp;Anmeldung!$D$37&amp;", "&amp;Anmeldung!$E$37&amp;" / "&amp;Anmeldung!$G$37&amp;" / "&amp;Anmeldung!$J$37)&lt;&gt;Anmeldung!$P$18),Anmeldung!$B$37&amp;": "&amp;Anmeldung!$D$37&amp;", "&amp;Anmeldung!$E$37&amp;" / "&amp;Anmeldung!$G$37&amp;" / "&amp;Anmeldung!$J$37,"")</f>
        <v/>
      </c>
      <c r="C24" t="str">
        <f>IF(AND(30&lt;&gt;11,Anmeldung!$D$37&lt;&gt;"",Anmeldung!$G$37=Anmeldung!$G$18,Anmeldung!$J$37=Anmeldung!$J$18,(Anmeldung!$B$37&amp;": "&amp;Anmeldung!$D$37&amp;", "&amp;Anmeldung!$E$37&amp;" / "&amp;Anmeldung!$G$37&amp;" / "&amp;Anmeldung!$J$37)&lt;&gt;Anmeldung!$O$18),Anmeldung!$B$37&amp;": "&amp;Anmeldung!$D$37&amp;", "&amp;Anmeldung!$E$37&amp;" / "&amp;Anmeldung!$G$37&amp;" / "&amp;Anmeldung!$J$37,"")</f>
        <v/>
      </c>
      <c r="D24" t="str">
        <f>IF(AND(30&lt;&gt;11,Anmeldung!$D$37&lt;&gt;"",Anmeldung!$G$37&lt;&gt;Anmeldung!$G$18,(Anmeldung!$B$37&amp;": "&amp;Anmeldung!$D$37&amp;", "&amp;Anmeldung!$E$37&amp;" / "&amp;Anmeldung!$G$37&amp;" / "&amp;Anmeldung!$J$37)&lt;&gt;Anmeldung!$S$18),Anmeldung!$B$37&amp;": "&amp;Anmeldung!$D$37&amp;", "&amp;Anmeldung!$E$37&amp;" / "&amp;Anmeldung!$G$37&amp;" / "&amp;Anmeldung!$J$37,"")</f>
        <v/>
      </c>
      <c r="E24" t="str">
        <f>IF(AND(30&lt;&gt;11,Anmeldung!$D$37&lt;&gt;"",(Anmeldung!$B$37&amp;": "&amp;Anmeldung!$D$37&amp;", "&amp;Anmeldung!$E$37&amp;" / "&amp;Anmeldung!$G$37&amp;" / "&amp;Anmeldung!$J$37)&lt;&gt;Anmeldung!$R$18),Anmeldung!$B$37&amp;": "&amp;Anmeldung!$D$37&amp;", "&amp;Anmeldung!$E$37&amp;" / "&amp;Anmeldung!$G$37&amp;" / "&amp;Anmeldung!$J$37,"")</f>
        <v/>
      </c>
      <c r="F24" t="str">
        <f>IF(AND(29&lt;&gt;10,Anmeldung!$D$37&lt;&gt;"",Anmeldung!$U$37="Ja",Anmeldung!$G$37=Anmeldung!$G$18,Anmeldung!$J$37=Anmeldung!$J$18),Anmeldung!$B$37&amp;": "&amp;Anmeldung!$D$37&amp;", "&amp;Anmeldung!$E$37&amp;" / "&amp;Anmeldung!$G$37&amp;" / "&amp;Anmeldung!$J$37,"")</f>
        <v/>
      </c>
      <c r="I24" t="str">
        <f>IF(AND(30&lt;&gt;12,Anmeldung!$D$37&lt;&gt;"",Anmeldung!$G$37=Anmeldung!$G$19,Anmeldung!$J$37=Anmeldung!$J$19),Anmeldung!$B$37&amp;": "&amp;Anmeldung!$D$37&amp;", "&amp;Anmeldung!$E$37&amp;" / "&amp;Anmeldung!$G$37&amp;" / "&amp;Anmeldung!$J$37,"")</f>
        <v/>
      </c>
      <c r="J24" t="str">
        <f>IF(AND(30&lt;&gt;12,Anmeldung!$D$37&lt;&gt;"",Anmeldung!$G$37=Anmeldung!$G$19,Anmeldung!$J$37=Anmeldung!$J$19,(Anmeldung!$B$37&amp;": "&amp;Anmeldung!$D$37&amp;", "&amp;Anmeldung!$E$37&amp;" / "&amp;Anmeldung!$G$37&amp;" / "&amp;Anmeldung!$J$37)&lt;&gt;Anmeldung!$P$19),Anmeldung!$B$37&amp;": "&amp;Anmeldung!$D$37&amp;", "&amp;Anmeldung!$E$37&amp;" / "&amp;Anmeldung!$G$37&amp;" / "&amp;Anmeldung!$J$37,"")</f>
        <v/>
      </c>
      <c r="K24" t="str">
        <f>IF(AND(30&lt;&gt;12,Anmeldung!$D$37&lt;&gt;"",Anmeldung!$G$37=Anmeldung!$G$19,Anmeldung!$J$37=Anmeldung!$J$19,(Anmeldung!$B$37&amp;": "&amp;Anmeldung!$D$37&amp;", "&amp;Anmeldung!$E$37&amp;" / "&amp;Anmeldung!$G$37&amp;" / "&amp;Anmeldung!$J$37)&lt;&gt;Anmeldung!$O$19),Anmeldung!$B$37&amp;": "&amp;Anmeldung!$D$37&amp;", "&amp;Anmeldung!$E$37&amp;" / "&amp;Anmeldung!$G$37&amp;" / "&amp;Anmeldung!$J$37,"")</f>
        <v/>
      </c>
      <c r="L24" t="str">
        <f>IF(AND(30&lt;&gt;12,Anmeldung!$D$37&lt;&gt;"",Anmeldung!$G$37&lt;&gt;Anmeldung!$G$19,(Anmeldung!$B$37&amp;": "&amp;Anmeldung!$D$37&amp;", "&amp;Anmeldung!$E$37&amp;" / "&amp;Anmeldung!$G$37&amp;" / "&amp;Anmeldung!$J$37)&lt;&gt;Anmeldung!$S$19),Anmeldung!$B$37&amp;": "&amp;Anmeldung!$D$37&amp;", "&amp;Anmeldung!$E$37&amp;" / "&amp;Anmeldung!$G$37&amp;" / "&amp;Anmeldung!$J$37,"")</f>
        <v/>
      </c>
      <c r="M24" t="str">
        <f>IF(AND(30&lt;&gt;12,Anmeldung!$D$37&lt;&gt;"",(Anmeldung!$B$37&amp;": "&amp;Anmeldung!$D$37&amp;", "&amp;Anmeldung!$E$37&amp;" / "&amp;Anmeldung!$G$37&amp;" / "&amp;Anmeldung!$J$37)&lt;&gt;Anmeldung!$R$19),Anmeldung!$B$37&amp;": "&amp;Anmeldung!$D$37&amp;", "&amp;Anmeldung!$E$37&amp;" / "&amp;Anmeldung!$G$37&amp;" / "&amp;Anmeldung!$J$37,"")</f>
        <v/>
      </c>
      <c r="N24" t="str">
        <f>IF(AND(29&lt;&gt;11,Anmeldung!$D$37&lt;&gt;"",Anmeldung!$U$37="Ja",Anmeldung!$G$37=Anmeldung!$G$19,Anmeldung!$J$37=Anmeldung!$J$19),Anmeldung!$B$37&amp;": "&amp;Anmeldung!$D$37&amp;", "&amp;Anmeldung!$E$37&amp;" / "&amp;Anmeldung!$G$37&amp;" / "&amp;Anmeldung!$J$37,"")</f>
        <v/>
      </c>
      <c r="Q24" t="str">
        <f>IF(AND(30&lt;&gt;13,Anmeldung!$D$37&lt;&gt;"",Anmeldung!$G$37=Anmeldung!$G$20,Anmeldung!$J$37=Anmeldung!$J$20),Anmeldung!$B$37&amp;": "&amp;Anmeldung!$D$37&amp;", "&amp;Anmeldung!$E$37&amp;" / "&amp;Anmeldung!$G$37&amp;" / "&amp;Anmeldung!$J$37,"")</f>
        <v/>
      </c>
      <c r="R24" t="str">
        <f>IF(AND(30&lt;&gt;13,Anmeldung!$D$37&lt;&gt;"",Anmeldung!$G$37=Anmeldung!$G$20,Anmeldung!$J$37=Anmeldung!$J$20,(Anmeldung!$B$37&amp;": "&amp;Anmeldung!$D$37&amp;", "&amp;Anmeldung!$E$37&amp;" / "&amp;Anmeldung!$G$37&amp;" / "&amp;Anmeldung!$J$37)&lt;&gt;Anmeldung!$P$20),Anmeldung!$B$37&amp;": "&amp;Anmeldung!$D$37&amp;", "&amp;Anmeldung!$E$37&amp;" / "&amp;Anmeldung!$G$37&amp;" / "&amp;Anmeldung!$J$37,"")</f>
        <v/>
      </c>
      <c r="S24" t="str">
        <f>IF(AND(30&lt;&gt;13,Anmeldung!$D$37&lt;&gt;"",Anmeldung!$G$37=Anmeldung!$G$20,Anmeldung!$J$37=Anmeldung!$J$20,(Anmeldung!$B$37&amp;": "&amp;Anmeldung!$D$37&amp;", "&amp;Anmeldung!$E$37&amp;" / "&amp;Anmeldung!$G$37&amp;" / "&amp;Anmeldung!$J$37)&lt;&gt;Anmeldung!$O$20),Anmeldung!$B$37&amp;": "&amp;Anmeldung!$D$37&amp;", "&amp;Anmeldung!$E$37&amp;" / "&amp;Anmeldung!$G$37&amp;" / "&amp;Anmeldung!$J$37,"")</f>
        <v/>
      </c>
      <c r="T24" t="str">
        <f>IF(AND(30&lt;&gt;13,Anmeldung!$D$37&lt;&gt;"",Anmeldung!$G$37&lt;&gt;Anmeldung!$G$20,(Anmeldung!$B$37&amp;": "&amp;Anmeldung!$D$37&amp;", "&amp;Anmeldung!$E$37&amp;" / "&amp;Anmeldung!$G$37&amp;" / "&amp;Anmeldung!$J$37)&lt;&gt;Anmeldung!$S$20),Anmeldung!$B$37&amp;": "&amp;Anmeldung!$D$37&amp;", "&amp;Anmeldung!$E$37&amp;" / "&amp;Anmeldung!$G$37&amp;" / "&amp;Anmeldung!$J$37,"")</f>
        <v/>
      </c>
      <c r="U24" t="str">
        <f>IF(AND(30&lt;&gt;13,Anmeldung!$D$37&lt;&gt;"",(Anmeldung!$B$37&amp;": "&amp;Anmeldung!$D$37&amp;", "&amp;Anmeldung!$E$37&amp;" / "&amp;Anmeldung!$G$37&amp;" / "&amp;Anmeldung!$J$37)&lt;&gt;Anmeldung!$R$20),Anmeldung!$B$37&amp;": "&amp;Anmeldung!$D$37&amp;", "&amp;Anmeldung!$E$37&amp;" / "&amp;Anmeldung!$G$37&amp;" / "&amp;Anmeldung!$J$37,"")</f>
        <v/>
      </c>
      <c r="V24" t="str">
        <f>IF(AND(29&lt;&gt;12,Anmeldung!$D$37&lt;&gt;"",Anmeldung!$U$37="Ja",Anmeldung!$G$37=Anmeldung!$G$20,Anmeldung!$J$37=Anmeldung!$J$20),Anmeldung!$B$37&amp;": "&amp;Anmeldung!$D$37&amp;", "&amp;Anmeldung!$E$37&amp;" / "&amp;Anmeldung!$G$37&amp;" / "&amp;Anmeldung!$J$37,"")</f>
        <v/>
      </c>
      <c r="Y24" t="str">
        <f>IF(AND(30&lt;&gt;14,Anmeldung!$D$37&lt;&gt;"",Anmeldung!$G$37=Anmeldung!$G$21,Anmeldung!$J$37=Anmeldung!$J$21),Anmeldung!$B$37&amp;": "&amp;Anmeldung!$D$37&amp;", "&amp;Anmeldung!$E$37&amp;" / "&amp;Anmeldung!$G$37&amp;" / "&amp;Anmeldung!$J$37,"")</f>
        <v/>
      </c>
      <c r="Z24" t="str">
        <f>IF(AND(30&lt;&gt;14,Anmeldung!$D$37&lt;&gt;"",Anmeldung!$G$37=Anmeldung!$G$21,Anmeldung!$J$37=Anmeldung!$J$21,(Anmeldung!$B$37&amp;": "&amp;Anmeldung!$D$37&amp;", "&amp;Anmeldung!$E$37&amp;" / "&amp;Anmeldung!$G$37&amp;" / "&amp;Anmeldung!$J$37)&lt;&gt;Anmeldung!$P$21),Anmeldung!$B$37&amp;": "&amp;Anmeldung!$D$37&amp;", "&amp;Anmeldung!$E$37&amp;" / "&amp;Anmeldung!$G$37&amp;" / "&amp;Anmeldung!$J$37,"")</f>
        <v/>
      </c>
      <c r="AA24" t="str">
        <f>IF(AND(30&lt;&gt;14,Anmeldung!$D$37&lt;&gt;"",Anmeldung!$G$37=Anmeldung!$G$21,Anmeldung!$J$37=Anmeldung!$J$21,(Anmeldung!$B$37&amp;": "&amp;Anmeldung!$D$37&amp;", "&amp;Anmeldung!$E$37&amp;" / "&amp;Anmeldung!$G$37&amp;" / "&amp;Anmeldung!$J$37)&lt;&gt;Anmeldung!$O$21),Anmeldung!$B$37&amp;": "&amp;Anmeldung!$D$37&amp;", "&amp;Anmeldung!$E$37&amp;" / "&amp;Anmeldung!$G$37&amp;" / "&amp;Anmeldung!$J$37,"")</f>
        <v/>
      </c>
      <c r="AB24" t="str">
        <f>IF(AND(30&lt;&gt;14,Anmeldung!$D$37&lt;&gt;"",Anmeldung!$G$37&lt;&gt;Anmeldung!$G$21,(Anmeldung!$B$37&amp;": "&amp;Anmeldung!$D$37&amp;", "&amp;Anmeldung!$E$37&amp;" / "&amp;Anmeldung!$G$37&amp;" / "&amp;Anmeldung!$J$37)&lt;&gt;Anmeldung!$S$21),Anmeldung!$B$37&amp;": "&amp;Anmeldung!$D$37&amp;", "&amp;Anmeldung!$E$37&amp;" / "&amp;Anmeldung!$G$37&amp;" / "&amp;Anmeldung!$J$37,"")</f>
        <v/>
      </c>
      <c r="AC24" t="str">
        <f>IF(AND(30&lt;&gt;14,Anmeldung!$D$37&lt;&gt;"",(Anmeldung!$B$37&amp;": "&amp;Anmeldung!$D$37&amp;", "&amp;Anmeldung!$E$37&amp;" / "&amp;Anmeldung!$G$37&amp;" / "&amp;Anmeldung!$J$37)&lt;&gt;Anmeldung!$R$21),Anmeldung!$B$37&amp;": "&amp;Anmeldung!$D$37&amp;", "&amp;Anmeldung!$E$37&amp;" / "&amp;Anmeldung!$G$37&amp;" / "&amp;Anmeldung!$J$37,"")</f>
        <v/>
      </c>
      <c r="AD24" t="str">
        <f>IF(AND(29&lt;&gt;13,Anmeldung!$D$37&lt;&gt;"",Anmeldung!$U$37="Ja",Anmeldung!$G$37=Anmeldung!$G$21,Anmeldung!$J$37=Anmeldung!$J$21),Anmeldung!$B$37&amp;": "&amp;Anmeldung!$D$37&amp;", "&amp;Anmeldung!$E$37&amp;" / "&amp;Anmeldung!$G$37&amp;" / "&amp;Anmeldung!$J$37,"")</f>
        <v/>
      </c>
      <c r="AG24" t="str">
        <f>IF(AND(30&lt;&gt;15,Anmeldung!$D$37&lt;&gt;"",Anmeldung!$G$37=Anmeldung!$G$22,Anmeldung!$J$37=Anmeldung!$J$22),Anmeldung!$B$37&amp;": "&amp;Anmeldung!$D$37&amp;", "&amp;Anmeldung!$E$37&amp;" / "&amp;Anmeldung!$G$37&amp;" / "&amp;Anmeldung!$J$37,"")</f>
        <v/>
      </c>
      <c r="AH24" t="str">
        <f>IF(AND(30&lt;&gt;15,Anmeldung!$D$37&lt;&gt;"",Anmeldung!$G$37=Anmeldung!$G$22,Anmeldung!$J$37=Anmeldung!$J$22,(Anmeldung!$B$37&amp;": "&amp;Anmeldung!$D$37&amp;", "&amp;Anmeldung!$E$37&amp;" / "&amp;Anmeldung!$G$37&amp;" / "&amp;Anmeldung!$J$37)&lt;&gt;Anmeldung!$P$22),Anmeldung!$B$37&amp;": "&amp;Anmeldung!$D$37&amp;", "&amp;Anmeldung!$E$37&amp;" / "&amp;Anmeldung!$G$37&amp;" / "&amp;Anmeldung!$J$37,"")</f>
        <v/>
      </c>
      <c r="AI24" t="str">
        <f>IF(AND(30&lt;&gt;15,Anmeldung!$D$37&lt;&gt;"",Anmeldung!$G$37=Anmeldung!$G$22,Anmeldung!$J$37=Anmeldung!$J$22,(Anmeldung!$B$37&amp;": "&amp;Anmeldung!$D$37&amp;", "&amp;Anmeldung!$E$37&amp;" / "&amp;Anmeldung!$G$37&amp;" / "&amp;Anmeldung!$J$37)&lt;&gt;Anmeldung!$O$22),Anmeldung!$B$37&amp;": "&amp;Anmeldung!$D$37&amp;", "&amp;Anmeldung!$E$37&amp;" / "&amp;Anmeldung!$G$37&amp;" / "&amp;Anmeldung!$J$37,"")</f>
        <v/>
      </c>
      <c r="AJ24" t="str">
        <f>IF(AND(30&lt;&gt;15,Anmeldung!$D$37&lt;&gt;"",Anmeldung!$G$37&lt;&gt;Anmeldung!$G$22,(Anmeldung!$B$37&amp;": "&amp;Anmeldung!$D$37&amp;", "&amp;Anmeldung!$E$37&amp;" / "&amp;Anmeldung!$G$37&amp;" / "&amp;Anmeldung!$J$37)&lt;&gt;Anmeldung!$S$22),Anmeldung!$B$37&amp;": "&amp;Anmeldung!$D$37&amp;", "&amp;Anmeldung!$E$37&amp;" / "&amp;Anmeldung!$G$37&amp;" / "&amp;Anmeldung!$J$37,"")</f>
        <v/>
      </c>
      <c r="AK24" t="str">
        <f>IF(AND(30&lt;&gt;15,Anmeldung!$D$37&lt;&gt;"",(Anmeldung!$B$37&amp;": "&amp;Anmeldung!$D$37&amp;", "&amp;Anmeldung!$E$37&amp;" / "&amp;Anmeldung!$G$37&amp;" / "&amp;Anmeldung!$J$37)&lt;&gt;Anmeldung!$R$22),Anmeldung!$B$37&amp;": "&amp;Anmeldung!$D$37&amp;", "&amp;Anmeldung!$E$37&amp;" / "&amp;Anmeldung!$G$37&amp;" / "&amp;Anmeldung!$J$37,"")</f>
        <v/>
      </c>
      <c r="AL24" t="str">
        <f>IF(AND(29&lt;&gt;14,Anmeldung!$D$37&lt;&gt;"",Anmeldung!$U$37="Ja",Anmeldung!$G$37=Anmeldung!$G$22,Anmeldung!$J$37=Anmeldung!$J$22),Anmeldung!$B$37&amp;": "&amp;Anmeldung!$D$37&amp;", "&amp;Anmeldung!$E$37&amp;" / "&amp;Anmeldung!$G$37&amp;" / "&amp;Anmeldung!$J$37,"")</f>
        <v/>
      </c>
      <c r="AO24" t="str">
        <f>IF(AND(30&lt;&gt;16,Anmeldung!$D$37&lt;&gt;"",Anmeldung!$G$37=Anmeldung!$G$23,Anmeldung!$J$37=Anmeldung!$J$23),Anmeldung!$B$37&amp;": "&amp;Anmeldung!$D$37&amp;", "&amp;Anmeldung!$E$37&amp;" / "&amp;Anmeldung!$G$37&amp;" / "&amp;Anmeldung!$J$37,"")</f>
        <v/>
      </c>
      <c r="AP24" t="str">
        <f>IF(AND(30&lt;&gt;16,Anmeldung!$D$37&lt;&gt;"",Anmeldung!$G$37=Anmeldung!$G$23,Anmeldung!$J$37=Anmeldung!$J$23,(Anmeldung!$B$37&amp;": "&amp;Anmeldung!$D$37&amp;", "&amp;Anmeldung!$E$37&amp;" / "&amp;Anmeldung!$G$37&amp;" / "&amp;Anmeldung!$J$37)&lt;&gt;Anmeldung!$P$23),Anmeldung!$B$37&amp;": "&amp;Anmeldung!$D$37&amp;", "&amp;Anmeldung!$E$37&amp;" / "&amp;Anmeldung!$G$37&amp;" / "&amp;Anmeldung!$J$37,"")</f>
        <v/>
      </c>
      <c r="AQ24" t="str">
        <f>IF(AND(30&lt;&gt;16,Anmeldung!$D$37&lt;&gt;"",Anmeldung!$G$37=Anmeldung!$G$23,Anmeldung!$J$37=Anmeldung!$J$23,(Anmeldung!$B$37&amp;": "&amp;Anmeldung!$D$37&amp;", "&amp;Anmeldung!$E$37&amp;" / "&amp;Anmeldung!$G$37&amp;" / "&amp;Anmeldung!$J$37)&lt;&gt;Anmeldung!$O$23),Anmeldung!$B$37&amp;": "&amp;Anmeldung!$D$37&amp;", "&amp;Anmeldung!$E$37&amp;" / "&amp;Anmeldung!$G$37&amp;" / "&amp;Anmeldung!$J$37,"")</f>
        <v/>
      </c>
      <c r="AR24" t="str">
        <f>IF(AND(30&lt;&gt;16,Anmeldung!$D$37&lt;&gt;"",Anmeldung!$G$37&lt;&gt;Anmeldung!$G$23,(Anmeldung!$B$37&amp;": "&amp;Anmeldung!$D$37&amp;", "&amp;Anmeldung!$E$37&amp;" / "&amp;Anmeldung!$G$37&amp;" / "&amp;Anmeldung!$J$37)&lt;&gt;Anmeldung!$S$23),Anmeldung!$B$37&amp;": "&amp;Anmeldung!$D$37&amp;", "&amp;Anmeldung!$E$37&amp;" / "&amp;Anmeldung!$G$37&amp;" / "&amp;Anmeldung!$J$37,"")</f>
        <v/>
      </c>
      <c r="AS24" t="str">
        <f>IF(AND(30&lt;&gt;16,Anmeldung!$D$37&lt;&gt;"",(Anmeldung!$B$37&amp;": "&amp;Anmeldung!$D$37&amp;", "&amp;Anmeldung!$E$37&amp;" / "&amp;Anmeldung!$G$37&amp;" / "&amp;Anmeldung!$J$37)&lt;&gt;Anmeldung!$R$23),Anmeldung!$B$37&amp;": "&amp;Anmeldung!$D$37&amp;", "&amp;Anmeldung!$E$37&amp;" / "&amp;Anmeldung!$G$37&amp;" / "&amp;Anmeldung!$J$37,"")</f>
        <v/>
      </c>
      <c r="AT24" t="str">
        <f>IF(AND(29&lt;&gt;15,Anmeldung!$D$37&lt;&gt;"",Anmeldung!$U$37="Ja",Anmeldung!$G$37=Anmeldung!$G$23,Anmeldung!$J$37=Anmeldung!$J$23),Anmeldung!$B$37&amp;": "&amp;Anmeldung!$D$37&amp;", "&amp;Anmeldung!$E$37&amp;" / "&amp;Anmeldung!$G$37&amp;" / "&amp;Anmeldung!$J$37,"")</f>
        <v/>
      </c>
      <c r="AW24" t="str">
        <f>IF(AND(30&lt;&gt;17,Anmeldung!$D$37&lt;&gt;"",Anmeldung!$G$37=Anmeldung!$G$24,Anmeldung!$J$37=Anmeldung!$J$24),Anmeldung!$B$37&amp;": "&amp;Anmeldung!$D$37&amp;", "&amp;Anmeldung!$E$37&amp;" / "&amp;Anmeldung!$G$37&amp;" / "&amp;Anmeldung!$J$37,"")</f>
        <v/>
      </c>
      <c r="AX24" t="str">
        <f>IF(AND(30&lt;&gt;17,Anmeldung!$D$37&lt;&gt;"",Anmeldung!$G$37=Anmeldung!$G$24,Anmeldung!$J$37=Anmeldung!$J$24,(Anmeldung!$B$37&amp;": "&amp;Anmeldung!$D$37&amp;", "&amp;Anmeldung!$E$37&amp;" / "&amp;Anmeldung!$G$37&amp;" / "&amp;Anmeldung!$J$37)&lt;&gt;Anmeldung!$P$24),Anmeldung!$B$37&amp;": "&amp;Anmeldung!$D$37&amp;", "&amp;Anmeldung!$E$37&amp;" / "&amp;Anmeldung!$G$37&amp;" / "&amp;Anmeldung!$J$37,"")</f>
        <v/>
      </c>
      <c r="AY24" t="str">
        <f>IF(AND(30&lt;&gt;17,Anmeldung!$D$37&lt;&gt;"",Anmeldung!$G$37=Anmeldung!$G$24,Anmeldung!$J$37=Anmeldung!$J$24,(Anmeldung!$B$37&amp;": "&amp;Anmeldung!$D$37&amp;", "&amp;Anmeldung!$E$37&amp;" / "&amp;Anmeldung!$G$37&amp;" / "&amp;Anmeldung!$J$37)&lt;&gt;Anmeldung!$O$24),Anmeldung!$B$37&amp;": "&amp;Anmeldung!$D$37&amp;", "&amp;Anmeldung!$E$37&amp;" / "&amp;Anmeldung!$G$37&amp;" / "&amp;Anmeldung!$J$37,"")</f>
        <v/>
      </c>
      <c r="AZ24" t="str">
        <f>IF(AND(30&lt;&gt;17,Anmeldung!$D$37&lt;&gt;"",Anmeldung!$G$37&lt;&gt;Anmeldung!$G$24,(Anmeldung!$B$37&amp;": "&amp;Anmeldung!$D$37&amp;", "&amp;Anmeldung!$E$37&amp;" / "&amp;Anmeldung!$G$37&amp;" / "&amp;Anmeldung!$J$37)&lt;&gt;Anmeldung!$S$24),Anmeldung!$B$37&amp;": "&amp;Anmeldung!$D$37&amp;", "&amp;Anmeldung!$E$37&amp;" / "&amp;Anmeldung!$G$37&amp;" / "&amp;Anmeldung!$J$37,"")</f>
        <v/>
      </c>
      <c r="BA24" t="str">
        <f>IF(AND(30&lt;&gt;17,Anmeldung!$D$37&lt;&gt;"",(Anmeldung!$B$37&amp;": "&amp;Anmeldung!$D$37&amp;", "&amp;Anmeldung!$E$37&amp;" / "&amp;Anmeldung!$G$37&amp;" / "&amp;Anmeldung!$J$37)&lt;&gt;Anmeldung!$R$24),Anmeldung!$B$37&amp;": "&amp;Anmeldung!$D$37&amp;", "&amp;Anmeldung!$E$37&amp;" / "&amp;Anmeldung!$G$37&amp;" / "&amp;Anmeldung!$J$37,"")</f>
        <v/>
      </c>
      <c r="BB24" t="str">
        <f>IF(AND(29&lt;&gt;16,Anmeldung!$D$37&lt;&gt;"",Anmeldung!$U$37="Ja",Anmeldung!$G$37=Anmeldung!$G$24,Anmeldung!$J$37=Anmeldung!$J$24),Anmeldung!$B$37&amp;": "&amp;Anmeldung!$D$37&amp;", "&amp;Anmeldung!$E$37&amp;" / "&amp;Anmeldung!$G$37&amp;" / "&amp;Anmeldung!$J$37,"")</f>
        <v/>
      </c>
      <c r="BE24" t="str">
        <f>IF(AND(30&lt;&gt;18,Anmeldung!$D$37&lt;&gt;"",Anmeldung!$G$37=Anmeldung!$G$25,Anmeldung!$J$37=Anmeldung!$J$25),Anmeldung!$B$37&amp;": "&amp;Anmeldung!$D$37&amp;", "&amp;Anmeldung!$E$37&amp;" / "&amp;Anmeldung!$G$37&amp;" / "&amp;Anmeldung!$J$37,"")</f>
        <v/>
      </c>
      <c r="BF24" t="str">
        <f>IF(AND(30&lt;&gt;18,Anmeldung!$D$37&lt;&gt;"",Anmeldung!$G$37=Anmeldung!$G$25,Anmeldung!$J$37=Anmeldung!$J$25,(Anmeldung!$B$37&amp;": "&amp;Anmeldung!$D$37&amp;", "&amp;Anmeldung!$E$37&amp;" / "&amp;Anmeldung!$G$37&amp;" / "&amp;Anmeldung!$J$37)&lt;&gt;Anmeldung!$P$25),Anmeldung!$B$37&amp;": "&amp;Anmeldung!$D$37&amp;", "&amp;Anmeldung!$E$37&amp;" / "&amp;Anmeldung!$G$37&amp;" / "&amp;Anmeldung!$J$37,"")</f>
        <v/>
      </c>
      <c r="BG24" t="str">
        <f>IF(AND(30&lt;&gt;18,Anmeldung!$D$37&lt;&gt;"",Anmeldung!$G$37=Anmeldung!$G$25,Anmeldung!$J$37=Anmeldung!$J$25,(Anmeldung!$B$37&amp;": "&amp;Anmeldung!$D$37&amp;", "&amp;Anmeldung!$E$37&amp;" / "&amp;Anmeldung!$G$37&amp;" / "&amp;Anmeldung!$J$37)&lt;&gt;Anmeldung!$O$25),Anmeldung!$B$37&amp;": "&amp;Anmeldung!$D$37&amp;", "&amp;Anmeldung!$E$37&amp;" / "&amp;Anmeldung!$G$37&amp;" / "&amp;Anmeldung!$J$37,"")</f>
        <v/>
      </c>
      <c r="BH24" t="str">
        <f>IF(AND(30&lt;&gt;18,Anmeldung!$D$37&lt;&gt;"",Anmeldung!$G$37&lt;&gt;Anmeldung!$G$25,(Anmeldung!$B$37&amp;": "&amp;Anmeldung!$D$37&amp;", "&amp;Anmeldung!$E$37&amp;" / "&amp;Anmeldung!$G$37&amp;" / "&amp;Anmeldung!$J$37)&lt;&gt;Anmeldung!$S$25),Anmeldung!$B$37&amp;": "&amp;Anmeldung!$D$37&amp;", "&amp;Anmeldung!$E$37&amp;" / "&amp;Anmeldung!$G$37&amp;" / "&amp;Anmeldung!$J$37,"")</f>
        <v/>
      </c>
      <c r="BI24" t="str">
        <f>IF(AND(30&lt;&gt;18,Anmeldung!$D$37&lt;&gt;"",(Anmeldung!$B$37&amp;": "&amp;Anmeldung!$D$37&amp;", "&amp;Anmeldung!$E$37&amp;" / "&amp;Anmeldung!$G$37&amp;" / "&amp;Anmeldung!$J$37)&lt;&gt;Anmeldung!$R$25),Anmeldung!$B$37&amp;": "&amp;Anmeldung!$D$37&amp;", "&amp;Anmeldung!$E$37&amp;" / "&amp;Anmeldung!$G$37&amp;" / "&amp;Anmeldung!$J$37,"")</f>
        <v/>
      </c>
      <c r="BJ24" t="str">
        <f>IF(AND(29&lt;&gt;17,Anmeldung!$D$37&lt;&gt;"",Anmeldung!$U$37="Ja",Anmeldung!$G$37=Anmeldung!$G$25,Anmeldung!$J$37=Anmeldung!$J$25),Anmeldung!$B$37&amp;": "&amp;Anmeldung!$D$37&amp;", "&amp;Anmeldung!$E$37&amp;" / "&amp;Anmeldung!$G$37&amp;" / "&amp;Anmeldung!$J$37,"")</f>
        <v/>
      </c>
      <c r="BM24" t="str">
        <f>IF(AND(30&lt;&gt;19,Anmeldung!$D$37&lt;&gt;"",Anmeldung!$G$37=Anmeldung!$G$26,Anmeldung!$J$37=Anmeldung!$J$26),Anmeldung!$B$37&amp;": "&amp;Anmeldung!$D$37&amp;", "&amp;Anmeldung!$E$37&amp;" / "&amp;Anmeldung!$G$37&amp;" / "&amp;Anmeldung!$J$37,"")</f>
        <v/>
      </c>
      <c r="BN24" t="str">
        <f>IF(AND(30&lt;&gt;19,Anmeldung!$D$37&lt;&gt;"",Anmeldung!$G$37=Anmeldung!$G$26,Anmeldung!$J$37=Anmeldung!$J$26,(Anmeldung!$B$37&amp;": "&amp;Anmeldung!$D$37&amp;", "&amp;Anmeldung!$E$37&amp;" / "&amp;Anmeldung!$G$37&amp;" / "&amp;Anmeldung!$J$37)&lt;&gt;Anmeldung!$P$26),Anmeldung!$B$37&amp;": "&amp;Anmeldung!$D$37&amp;", "&amp;Anmeldung!$E$37&amp;" / "&amp;Anmeldung!$G$37&amp;" / "&amp;Anmeldung!$J$37,"")</f>
        <v/>
      </c>
      <c r="BO24" t="str">
        <f>IF(AND(30&lt;&gt;19,Anmeldung!$D$37&lt;&gt;"",Anmeldung!$G$37=Anmeldung!$G$26,Anmeldung!$J$37=Anmeldung!$J$26,(Anmeldung!$B$37&amp;": "&amp;Anmeldung!$D$37&amp;", "&amp;Anmeldung!$E$37&amp;" / "&amp;Anmeldung!$G$37&amp;" / "&amp;Anmeldung!$J$37)&lt;&gt;Anmeldung!$O$26),Anmeldung!$B$37&amp;": "&amp;Anmeldung!$D$37&amp;", "&amp;Anmeldung!$E$37&amp;" / "&amp;Anmeldung!$G$37&amp;" / "&amp;Anmeldung!$J$37,"")</f>
        <v/>
      </c>
      <c r="BP24" t="str">
        <f>IF(AND(30&lt;&gt;19,Anmeldung!$D$37&lt;&gt;"",Anmeldung!$G$37&lt;&gt;Anmeldung!$G$26,(Anmeldung!$B$37&amp;": "&amp;Anmeldung!$D$37&amp;", "&amp;Anmeldung!$E$37&amp;" / "&amp;Anmeldung!$G$37&amp;" / "&amp;Anmeldung!$J$37)&lt;&gt;Anmeldung!$S$26),Anmeldung!$B$37&amp;": "&amp;Anmeldung!$D$37&amp;", "&amp;Anmeldung!$E$37&amp;" / "&amp;Anmeldung!$G$37&amp;" / "&amp;Anmeldung!$J$37,"")</f>
        <v/>
      </c>
      <c r="BQ24" t="str">
        <f>IF(AND(30&lt;&gt;19,Anmeldung!$D$37&lt;&gt;"",(Anmeldung!$B$37&amp;": "&amp;Anmeldung!$D$37&amp;", "&amp;Anmeldung!$E$37&amp;" / "&amp;Anmeldung!$G$37&amp;" / "&amp;Anmeldung!$J$37)&lt;&gt;Anmeldung!$R$26),Anmeldung!$B$37&amp;": "&amp;Anmeldung!$D$37&amp;", "&amp;Anmeldung!$E$37&amp;" / "&amp;Anmeldung!$G$37&amp;" / "&amp;Anmeldung!$J$37,"")</f>
        <v/>
      </c>
      <c r="BR24" t="str">
        <f>IF(AND(29&lt;&gt;18,Anmeldung!$D$37&lt;&gt;"",Anmeldung!$U$37="Ja",Anmeldung!$G$37=Anmeldung!$G$26,Anmeldung!$J$37=Anmeldung!$J$26),Anmeldung!$B$37&amp;": "&amp;Anmeldung!$D$37&amp;", "&amp;Anmeldung!$E$37&amp;" / "&amp;Anmeldung!$G$37&amp;" / "&amp;Anmeldung!$J$37,"")</f>
        <v/>
      </c>
      <c r="BU24" t="str">
        <f>IF(AND(30&lt;&gt;20,Anmeldung!$D$37&lt;&gt;"",Anmeldung!$G$37=Anmeldung!$G$27,Anmeldung!$J$37=Anmeldung!$J$27),Anmeldung!$B$37&amp;": "&amp;Anmeldung!$D$37&amp;", "&amp;Anmeldung!$E$37&amp;" / "&amp;Anmeldung!$G$37&amp;" / "&amp;Anmeldung!$J$37,"")</f>
        <v/>
      </c>
      <c r="BV24" t="str">
        <f>IF(AND(30&lt;&gt;20,Anmeldung!$D$37&lt;&gt;"",Anmeldung!$G$37=Anmeldung!$G$27,Anmeldung!$J$37=Anmeldung!$J$27,(Anmeldung!$B$37&amp;": "&amp;Anmeldung!$D$37&amp;", "&amp;Anmeldung!$E$37&amp;" / "&amp;Anmeldung!$G$37&amp;" / "&amp;Anmeldung!$J$37)&lt;&gt;Anmeldung!$P$27),Anmeldung!$B$37&amp;": "&amp;Anmeldung!$D$37&amp;", "&amp;Anmeldung!$E$37&amp;" / "&amp;Anmeldung!$G$37&amp;" / "&amp;Anmeldung!$J$37,"")</f>
        <v/>
      </c>
      <c r="BW24" t="str">
        <f>IF(AND(30&lt;&gt;20,Anmeldung!$D$37&lt;&gt;"",Anmeldung!$G$37=Anmeldung!$G$27,Anmeldung!$J$37=Anmeldung!$J$27,(Anmeldung!$B$37&amp;": "&amp;Anmeldung!$D$37&amp;", "&amp;Anmeldung!$E$37&amp;" / "&amp;Anmeldung!$G$37&amp;" / "&amp;Anmeldung!$J$37)&lt;&gt;Anmeldung!$O$27),Anmeldung!$B$37&amp;": "&amp;Anmeldung!$D$37&amp;", "&amp;Anmeldung!$E$37&amp;" / "&amp;Anmeldung!$G$37&amp;" / "&amp;Anmeldung!$J$37,"")</f>
        <v/>
      </c>
      <c r="BX24" t="str">
        <f>IF(AND(30&lt;&gt;20,Anmeldung!$D$37&lt;&gt;"",Anmeldung!$G$37&lt;&gt;Anmeldung!$G$27,(Anmeldung!$B$37&amp;": "&amp;Anmeldung!$D$37&amp;", "&amp;Anmeldung!$E$37&amp;" / "&amp;Anmeldung!$G$37&amp;" / "&amp;Anmeldung!$J$37)&lt;&gt;Anmeldung!$S$27),Anmeldung!$B$37&amp;": "&amp;Anmeldung!$D$37&amp;", "&amp;Anmeldung!$E$37&amp;" / "&amp;Anmeldung!$G$37&amp;" / "&amp;Anmeldung!$J$37,"")</f>
        <v/>
      </c>
      <c r="BY24" t="str">
        <f>IF(AND(30&lt;&gt;20,Anmeldung!$D$37&lt;&gt;"",(Anmeldung!$B$37&amp;": "&amp;Anmeldung!$D$37&amp;", "&amp;Anmeldung!$E$37&amp;" / "&amp;Anmeldung!$G$37&amp;" / "&amp;Anmeldung!$J$37)&lt;&gt;Anmeldung!$R$27),Anmeldung!$B$37&amp;": "&amp;Anmeldung!$D$37&amp;", "&amp;Anmeldung!$E$37&amp;" / "&amp;Anmeldung!$G$37&amp;" / "&amp;Anmeldung!$J$37,"")</f>
        <v/>
      </c>
      <c r="BZ24" t="str">
        <f>IF(AND(29&lt;&gt;19,Anmeldung!$D$37&lt;&gt;"",Anmeldung!$U$37="Ja",Anmeldung!$G$37=Anmeldung!$G$27,Anmeldung!$J$37=Anmeldung!$J$27),Anmeldung!$B$37&amp;": "&amp;Anmeldung!$D$37&amp;", "&amp;Anmeldung!$E$37&amp;" / "&amp;Anmeldung!$G$37&amp;" / "&amp;Anmeldung!$J$37,"")</f>
        <v/>
      </c>
      <c r="CC24" t="str">
        <f>IF(AND(30&lt;&gt;21,Anmeldung!$D$37&lt;&gt;"",Anmeldung!$G$37=Anmeldung!$G$28,Anmeldung!$J$37=Anmeldung!$J$28),Anmeldung!$B$37&amp;": "&amp;Anmeldung!$D$37&amp;", "&amp;Anmeldung!$E$37&amp;" / "&amp;Anmeldung!$G$37&amp;" / "&amp;Anmeldung!$J$37,"")</f>
        <v/>
      </c>
      <c r="CD24" t="str">
        <f>IF(AND(30&lt;&gt;21,Anmeldung!$D$37&lt;&gt;"",Anmeldung!$G$37=Anmeldung!$G$28,Anmeldung!$J$37=Anmeldung!$J$28,(Anmeldung!$B$37&amp;": "&amp;Anmeldung!$D$37&amp;", "&amp;Anmeldung!$E$37&amp;" / "&amp;Anmeldung!$G$37&amp;" / "&amp;Anmeldung!$J$37)&lt;&gt;Anmeldung!$P$28),Anmeldung!$B$37&amp;": "&amp;Anmeldung!$D$37&amp;", "&amp;Anmeldung!$E$37&amp;" / "&amp;Anmeldung!$G$37&amp;" / "&amp;Anmeldung!$J$37,"")</f>
        <v/>
      </c>
      <c r="CE24" t="str">
        <f>IF(AND(30&lt;&gt;21,Anmeldung!$D$37&lt;&gt;"",Anmeldung!$G$37=Anmeldung!$G$28,Anmeldung!$J$37=Anmeldung!$J$28,(Anmeldung!$B$37&amp;": "&amp;Anmeldung!$D$37&amp;", "&amp;Anmeldung!$E$37&amp;" / "&amp;Anmeldung!$G$37&amp;" / "&amp;Anmeldung!$J$37)&lt;&gt;Anmeldung!$O$28),Anmeldung!$B$37&amp;": "&amp;Anmeldung!$D$37&amp;", "&amp;Anmeldung!$E$37&amp;" / "&amp;Anmeldung!$G$37&amp;" / "&amp;Anmeldung!$J$37,"")</f>
        <v/>
      </c>
      <c r="CF24" t="str">
        <f>IF(AND(30&lt;&gt;21,Anmeldung!$D$37&lt;&gt;"",Anmeldung!$G$37&lt;&gt;Anmeldung!$G$28,(Anmeldung!$B$37&amp;": "&amp;Anmeldung!$D$37&amp;", "&amp;Anmeldung!$E$37&amp;" / "&amp;Anmeldung!$G$37&amp;" / "&amp;Anmeldung!$J$37)&lt;&gt;Anmeldung!$S$28),Anmeldung!$B$37&amp;": "&amp;Anmeldung!$D$37&amp;", "&amp;Anmeldung!$E$37&amp;" / "&amp;Anmeldung!$G$37&amp;" / "&amp;Anmeldung!$J$37,"")</f>
        <v/>
      </c>
      <c r="CG24" t="str">
        <f>IF(AND(30&lt;&gt;21,Anmeldung!$D$37&lt;&gt;"",(Anmeldung!$B$37&amp;": "&amp;Anmeldung!$D$37&amp;", "&amp;Anmeldung!$E$37&amp;" / "&amp;Anmeldung!$G$37&amp;" / "&amp;Anmeldung!$J$37)&lt;&gt;Anmeldung!$R$28),Anmeldung!$B$37&amp;": "&amp;Anmeldung!$D$37&amp;", "&amp;Anmeldung!$E$37&amp;" / "&amp;Anmeldung!$G$37&amp;" / "&amp;Anmeldung!$J$37,"")</f>
        <v/>
      </c>
      <c r="CH24" t="str">
        <f>IF(AND(29&lt;&gt;20,Anmeldung!$D$37&lt;&gt;"",Anmeldung!$U$37="Ja",Anmeldung!$G$37=Anmeldung!$G$28,Anmeldung!$J$37=Anmeldung!$J$28),Anmeldung!$B$37&amp;": "&amp;Anmeldung!$D$37&amp;", "&amp;Anmeldung!$E$37&amp;" / "&amp;Anmeldung!$G$37&amp;" / "&amp;Anmeldung!$J$37,"")</f>
        <v/>
      </c>
      <c r="CK24" t="str">
        <f>IF(AND(30&lt;&gt;22,Anmeldung!$D$37&lt;&gt;"",Anmeldung!$G$37=Anmeldung!$G$29,Anmeldung!$J$37=Anmeldung!$J$29),Anmeldung!$B$37&amp;": "&amp;Anmeldung!$D$37&amp;", "&amp;Anmeldung!$E$37&amp;" / "&amp;Anmeldung!$G$37&amp;" / "&amp;Anmeldung!$J$37,"")</f>
        <v/>
      </c>
      <c r="CL24" t="str">
        <f>IF(AND(30&lt;&gt;22,Anmeldung!$D$37&lt;&gt;"",Anmeldung!$G$37=Anmeldung!$G$29,Anmeldung!$J$37=Anmeldung!$J$29,(Anmeldung!$B$37&amp;": "&amp;Anmeldung!$D$37&amp;", "&amp;Anmeldung!$E$37&amp;" / "&amp;Anmeldung!$G$37&amp;" / "&amp;Anmeldung!$J$37)&lt;&gt;Anmeldung!$P$29),Anmeldung!$B$37&amp;": "&amp;Anmeldung!$D$37&amp;", "&amp;Anmeldung!$E$37&amp;" / "&amp;Anmeldung!$G$37&amp;" / "&amp;Anmeldung!$J$37,"")</f>
        <v/>
      </c>
      <c r="CM24" t="str">
        <f>IF(AND(30&lt;&gt;22,Anmeldung!$D$37&lt;&gt;"",Anmeldung!$G$37=Anmeldung!$G$29,Anmeldung!$J$37=Anmeldung!$J$29,(Anmeldung!$B$37&amp;": "&amp;Anmeldung!$D$37&amp;", "&amp;Anmeldung!$E$37&amp;" / "&amp;Anmeldung!$G$37&amp;" / "&amp;Anmeldung!$J$37)&lt;&gt;Anmeldung!$O$29),Anmeldung!$B$37&amp;": "&amp;Anmeldung!$D$37&amp;", "&amp;Anmeldung!$E$37&amp;" / "&amp;Anmeldung!$G$37&amp;" / "&amp;Anmeldung!$J$37,"")</f>
        <v/>
      </c>
      <c r="CN24" t="str">
        <f>IF(AND(30&lt;&gt;22,Anmeldung!$D$37&lt;&gt;"",Anmeldung!$G$37&lt;&gt;Anmeldung!$G$29,(Anmeldung!$B$37&amp;": "&amp;Anmeldung!$D$37&amp;", "&amp;Anmeldung!$E$37&amp;" / "&amp;Anmeldung!$G$37&amp;" / "&amp;Anmeldung!$J$37)&lt;&gt;Anmeldung!$S$29),Anmeldung!$B$37&amp;": "&amp;Anmeldung!$D$37&amp;", "&amp;Anmeldung!$E$37&amp;" / "&amp;Anmeldung!$G$37&amp;" / "&amp;Anmeldung!$J$37,"")</f>
        <v/>
      </c>
      <c r="CO24" t="str">
        <f>IF(AND(30&lt;&gt;22,Anmeldung!$D$37&lt;&gt;"",(Anmeldung!$B$37&amp;": "&amp;Anmeldung!$D$37&amp;", "&amp;Anmeldung!$E$37&amp;" / "&amp;Anmeldung!$G$37&amp;" / "&amp;Anmeldung!$J$37)&lt;&gt;Anmeldung!$R$29),Anmeldung!$B$37&amp;": "&amp;Anmeldung!$D$37&amp;", "&amp;Anmeldung!$E$37&amp;" / "&amp;Anmeldung!$G$37&amp;" / "&amp;Anmeldung!$J$37,"")</f>
        <v/>
      </c>
      <c r="CP24" t="str">
        <f>IF(AND(29&lt;&gt;21,Anmeldung!$D$37&lt;&gt;"",Anmeldung!$U$37="Ja",Anmeldung!$G$37=Anmeldung!$G$29,Anmeldung!$J$37=Anmeldung!$J$29),Anmeldung!$B$37&amp;": "&amp;Anmeldung!$D$37&amp;", "&amp;Anmeldung!$E$37&amp;" / "&amp;Anmeldung!$G$37&amp;" / "&amp;Anmeldung!$J$37,"")</f>
        <v/>
      </c>
      <c r="CS24" t="str">
        <f>IF(AND(30&lt;&gt;23,Anmeldung!$D$37&lt;&gt;"",Anmeldung!$G$37=Anmeldung!$G$30,Anmeldung!$J$37=Anmeldung!$J$30),Anmeldung!$B$37&amp;": "&amp;Anmeldung!$D$37&amp;", "&amp;Anmeldung!$E$37&amp;" / "&amp;Anmeldung!$G$37&amp;" / "&amp;Anmeldung!$J$37,"")</f>
        <v/>
      </c>
      <c r="CT24" t="str">
        <f>IF(AND(30&lt;&gt;23,Anmeldung!$D$37&lt;&gt;"",Anmeldung!$G$37=Anmeldung!$G$30,Anmeldung!$J$37=Anmeldung!$J$30,(Anmeldung!$B$37&amp;": "&amp;Anmeldung!$D$37&amp;", "&amp;Anmeldung!$E$37&amp;" / "&amp;Anmeldung!$G$37&amp;" / "&amp;Anmeldung!$J$37)&lt;&gt;Anmeldung!$P$30),Anmeldung!$B$37&amp;": "&amp;Anmeldung!$D$37&amp;", "&amp;Anmeldung!$E$37&amp;" / "&amp;Anmeldung!$G$37&amp;" / "&amp;Anmeldung!$J$37,"")</f>
        <v/>
      </c>
      <c r="CU24" t="str">
        <f>IF(AND(30&lt;&gt;23,Anmeldung!$D$37&lt;&gt;"",Anmeldung!$G$37=Anmeldung!$G$30,Anmeldung!$J$37=Anmeldung!$J$30,(Anmeldung!$B$37&amp;": "&amp;Anmeldung!$D$37&amp;", "&amp;Anmeldung!$E$37&amp;" / "&amp;Anmeldung!$G$37&amp;" / "&amp;Anmeldung!$J$37)&lt;&gt;Anmeldung!$O$30),Anmeldung!$B$37&amp;": "&amp;Anmeldung!$D$37&amp;", "&amp;Anmeldung!$E$37&amp;" / "&amp;Anmeldung!$G$37&amp;" / "&amp;Anmeldung!$J$37,"")</f>
        <v/>
      </c>
      <c r="CV24" t="str">
        <f>IF(AND(30&lt;&gt;23,Anmeldung!$D$37&lt;&gt;"",Anmeldung!$G$37&lt;&gt;Anmeldung!$G$30,(Anmeldung!$B$37&amp;": "&amp;Anmeldung!$D$37&amp;", "&amp;Anmeldung!$E$37&amp;" / "&amp;Anmeldung!$G$37&amp;" / "&amp;Anmeldung!$J$37)&lt;&gt;Anmeldung!$S$30),Anmeldung!$B$37&amp;": "&amp;Anmeldung!$D$37&amp;", "&amp;Anmeldung!$E$37&amp;" / "&amp;Anmeldung!$G$37&amp;" / "&amp;Anmeldung!$J$37,"")</f>
        <v/>
      </c>
      <c r="CW24" t="str">
        <f>IF(AND(30&lt;&gt;23,Anmeldung!$D$37&lt;&gt;"",(Anmeldung!$B$37&amp;": "&amp;Anmeldung!$D$37&amp;", "&amp;Anmeldung!$E$37&amp;" / "&amp;Anmeldung!$G$37&amp;" / "&amp;Anmeldung!$J$37)&lt;&gt;Anmeldung!$R$30),Anmeldung!$B$37&amp;": "&amp;Anmeldung!$D$37&amp;", "&amp;Anmeldung!$E$37&amp;" / "&amp;Anmeldung!$G$37&amp;" / "&amp;Anmeldung!$J$37,"")</f>
        <v/>
      </c>
      <c r="CX24" t="str">
        <f>IF(AND(29&lt;&gt;22,Anmeldung!$D$37&lt;&gt;"",Anmeldung!$U$37="Ja",Anmeldung!$G$37=Anmeldung!$G$30,Anmeldung!$J$37=Anmeldung!$J$30),Anmeldung!$B$37&amp;": "&amp;Anmeldung!$D$37&amp;", "&amp;Anmeldung!$E$37&amp;" / "&amp;Anmeldung!$G$37&amp;" / "&amp;Anmeldung!$J$37,"")</f>
        <v/>
      </c>
      <c r="DA24" t="str">
        <f>IF(AND(30&lt;&gt;24,Anmeldung!$D$37&lt;&gt;"",Anmeldung!$G$37=Anmeldung!$G$31,Anmeldung!$J$37=Anmeldung!$J$31),Anmeldung!$B$37&amp;": "&amp;Anmeldung!$D$37&amp;", "&amp;Anmeldung!$E$37&amp;" / "&amp;Anmeldung!$G$37&amp;" / "&amp;Anmeldung!$J$37,"")</f>
        <v/>
      </c>
      <c r="DB24" t="str">
        <f>IF(AND(30&lt;&gt;24,Anmeldung!$D$37&lt;&gt;"",Anmeldung!$G$37=Anmeldung!$G$31,Anmeldung!$J$37=Anmeldung!$J$31,(Anmeldung!$B$37&amp;": "&amp;Anmeldung!$D$37&amp;", "&amp;Anmeldung!$E$37&amp;" / "&amp;Anmeldung!$G$37&amp;" / "&amp;Anmeldung!$J$37)&lt;&gt;Anmeldung!$P$31),Anmeldung!$B$37&amp;": "&amp;Anmeldung!$D$37&amp;", "&amp;Anmeldung!$E$37&amp;" / "&amp;Anmeldung!$G$37&amp;" / "&amp;Anmeldung!$J$37,"")</f>
        <v/>
      </c>
      <c r="DC24" t="str">
        <f>IF(AND(30&lt;&gt;24,Anmeldung!$D$37&lt;&gt;"",Anmeldung!$G$37=Anmeldung!$G$31,Anmeldung!$J$37=Anmeldung!$J$31,(Anmeldung!$B$37&amp;": "&amp;Anmeldung!$D$37&amp;", "&amp;Anmeldung!$E$37&amp;" / "&amp;Anmeldung!$G$37&amp;" / "&amp;Anmeldung!$J$37)&lt;&gt;Anmeldung!$O$31),Anmeldung!$B$37&amp;": "&amp;Anmeldung!$D$37&amp;", "&amp;Anmeldung!$E$37&amp;" / "&amp;Anmeldung!$G$37&amp;" / "&amp;Anmeldung!$J$37,"")</f>
        <v/>
      </c>
      <c r="DD24" t="str">
        <f>IF(AND(30&lt;&gt;24,Anmeldung!$D$37&lt;&gt;"",Anmeldung!$G$37&lt;&gt;Anmeldung!$G$31,(Anmeldung!$B$37&amp;": "&amp;Anmeldung!$D$37&amp;", "&amp;Anmeldung!$E$37&amp;" / "&amp;Anmeldung!$G$37&amp;" / "&amp;Anmeldung!$J$37)&lt;&gt;Anmeldung!$S$31),Anmeldung!$B$37&amp;": "&amp;Anmeldung!$D$37&amp;", "&amp;Anmeldung!$E$37&amp;" / "&amp;Anmeldung!$G$37&amp;" / "&amp;Anmeldung!$J$37,"")</f>
        <v/>
      </c>
      <c r="DE24" t="str">
        <f>IF(AND(30&lt;&gt;24,Anmeldung!$D$37&lt;&gt;"",(Anmeldung!$B$37&amp;": "&amp;Anmeldung!$D$37&amp;", "&amp;Anmeldung!$E$37&amp;" / "&amp;Anmeldung!$G$37&amp;" / "&amp;Anmeldung!$J$37)&lt;&gt;Anmeldung!$R$31),Anmeldung!$B$37&amp;": "&amp;Anmeldung!$D$37&amp;", "&amp;Anmeldung!$E$37&amp;" / "&amp;Anmeldung!$G$37&amp;" / "&amp;Anmeldung!$J$37,"")</f>
        <v/>
      </c>
      <c r="DF24" t="str">
        <f>IF(AND(29&lt;&gt;23,Anmeldung!$D$37&lt;&gt;"",Anmeldung!$U$37="Ja",Anmeldung!$G$37=Anmeldung!$G$31,Anmeldung!$J$37=Anmeldung!$J$31),Anmeldung!$B$37&amp;": "&amp;Anmeldung!$D$37&amp;", "&amp;Anmeldung!$E$37&amp;" / "&amp;Anmeldung!$G$37&amp;" / "&amp;Anmeldung!$J$37,"")</f>
        <v/>
      </c>
      <c r="DI24" t="str">
        <f>IF(AND(30&lt;&gt;25,Anmeldung!$D$37&lt;&gt;"",Anmeldung!$G$37=Anmeldung!$G$32,Anmeldung!$J$37=Anmeldung!$J$32),Anmeldung!$B$37&amp;": "&amp;Anmeldung!$D$37&amp;", "&amp;Anmeldung!$E$37&amp;" / "&amp;Anmeldung!$G$37&amp;" / "&amp;Anmeldung!$J$37,"")</f>
        <v/>
      </c>
      <c r="DJ24" t="str">
        <f>IF(AND(30&lt;&gt;25,Anmeldung!$D$37&lt;&gt;"",Anmeldung!$G$37=Anmeldung!$G$32,Anmeldung!$J$37=Anmeldung!$J$32,(Anmeldung!$B$37&amp;": "&amp;Anmeldung!$D$37&amp;", "&amp;Anmeldung!$E$37&amp;" / "&amp;Anmeldung!$G$37&amp;" / "&amp;Anmeldung!$J$37)&lt;&gt;Anmeldung!$P$32),Anmeldung!$B$37&amp;": "&amp;Anmeldung!$D$37&amp;", "&amp;Anmeldung!$E$37&amp;" / "&amp;Anmeldung!$G$37&amp;" / "&amp;Anmeldung!$J$37,"")</f>
        <v/>
      </c>
      <c r="DK24" t="str">
        <f>IF(AND(30&lt;&gt;25,Anmeldung!$D$37&lt;&gt;"",Anmeldung!$G$37=Anmeldung!$G$32,Anmeldung!$J$37=Anmeldung!$J$32,(Anmeldung!$B$37&amp;": "&amp;Anmeldung!$D$37&amp;", "&amp;Anmeldung!$E$37&amp;" / "&amp;Anmeldung!$G$37&amp;" / "&amp;Anmeldung!$J$37)&lt;&gt;Anmeldung!$O$32),Anmeldung!$B$37&amp;": "&amp;Anmeldung!$D$37&amp;", "&amp;Anmeldung!$E$37&amp;" / "&amp;Anmeldung!$G$37&amp;" / "&amp;Anmeldung!$J$37,"")</f>
        <v/>
      </c>
      <c r="DL24" t="str">
        <f>IF(AND(30&lt;&gt;25,Anmeldung!$D$37&lt;&gt;"",Anmeldung!$G$37&lt;&gt;Anmeldung!$G$32,(Anmeldung!$B$37&amp;": "&amp;Anmeldung!$D$37&amp;", "&amp;Anmeldung!$E$37&amp;" / "&amp;Anmeldung!$G$37&amp;" / "&amp;Anmeldung!$J$37)&lt;&gt;Anmeldung!$S$32),Anmeldung!$B$37&amp;": "&amp;Anmeldung!$D$37&amp;", "&amp;Anmeldung!$E$37&amp;" / "&amp;Anmeldung!$G$37&amp;" / "&amp;Anmeldung!$J$37,"")</f>
        <v/>
      </c>
      <c r="DM24" t="str">
        <f>IF(AND(30&lt;&gt;25,Anmeldung!$D$37&lt;&gt;"",(Anmeldung!$B$37&amp;": "&amp;Anmeldung!$D$37&amp;", "&amp;Anmeldung!$E$37&amp;" / "&amp;Anmeldung!$G$37&amp;" / "&amp;Anmeldung!$J$37)&lt;&gt;Anmeldung!$R$32),Anmeldung!$B$37&amp;": "&amp;Anmeldung!$D$37&amp;", "&amp;Anmeldung!$E$37&amp;" / "&amp;Anmeldung!$G$37&amp;" / "&amp;Anmeldung!$J$37,"")</f>
        <v/>
      </c>
      <c r="DN24" t="str">
        <f>IF(AND(29&lt;&gt;24,Anmeldung!$D$37&lt;&gt;"",Anmeldung!$U$37="Ja",Anmeldung!$G$37=Anmeldung!$G$32,Anmeldung!$J$37=Anmeldung!$J$32),Anmeldung!$B$37&amp;": "&amp;Anmeldung!$D$37&amp;", "&amp;Anmeldung!$E$37&amp;" / "&amp;Anmeldung!$G$37&amp;" / "&amp;Anmeldung!$J$37,"")</f>
        <v/>
      </c>
      <c r="DQ24" t="str">
        <f>IF(AND(30&lt;&gt;26,Anmeldung!$D$37&lt;&gt;"",Anmeldung!$G$37=Anmeldung!$G$33,Anmeldung!$J$37=Anmeldung!$J$33),Anmeldung!$B$37&amp;": "&amp;Anmeldung!$D$37&amp;", "&amp;Anmeldung!$E$37&amp;" / "&amp;Anmeldung!$G$37&amp;" / "&amp;Anmeldung!$J$37,"")</f>
        <v/>
      </c>
      <c r="DR24" t="str">
        <f>IF(AND(30&lt;&gt;26,Anmeldung!$D$37&lt;&gt;"",Anmeldung!$G$37=Anmeldung!$G$33,Anmeldung!$J$37=Anmeldung!$J$33,(Anmeldung!$B$37&amp;": "&amp;Anmeldung!$D$37&amp;", "&amp;Anmeldung!$E$37&amp;" / "&amp;Anmeldung!$G$37&amp;" / "&amp;Anmeldung!$J$37)&lt;&gt;Anmeldung!$P$33),Anmeldung!$B$37&amp;": "&amp;Anmeldung!$D$37&amp;", "&amp;Anmeldung!$E$37&amp;" / "&amp;Anmeldung!$G$37&amp;" / "&amp;Anmeldung!$J$37,"")</f>
        <v/>
      </c>
      <c r="DS24" t="str">
        <f>IF(AND(30&lt;&gt;26,Anmeldung!$D$37&lt;&gt;"",Anmeldung!$G$37=Anmeldung!$G$33,Anmeldung!$J$37=Anmeldung!$J$33,(Anmeldung!$B$37&amp;": "&amp;Anmeldung!$D$37&amp;", "&amp;Anmeldung!$E$37&amp;" / "&amp;Anmeldung!$G$37&amp;" / "&amp;Anmeldung!$J$37)&lt;&gt;Anmeldung!$O$33),Anmeldung!$B$37&amp;": "&amp;Anmeldung!$D$37&amp;", "&amp;Anmeldung!$E$37&amp;" / "&amp;Anmeldung!$G$37&amp;" / "&amp;Anmeldung!$J$37,"")</f>
        <v/>
      </c>
      <c r="DT24" t="str">
        <f>IF(AND(30&lt;&gt;26,Anmeldung!$D$37&lt;&gt;"",Anmeldung!$G$37&lt;&gt;Anmeldung!$G$33,(Anmeldung!$B$37&amp;": "&amp;Anmeldung!$D$37&amp;", "&amp;Anmeldung!$E$37&amp;" / "&amp;Anmeldung!$G$37&amp;" / "&amp;Anmeldung!$J$37)&lt;&gt;Anmeldung!$S$33),Anmeldung!$B$37&amp;": "&amp;Anmeldung!$D$37&amp;", "&amp;Anmeldung!$E$37&amp;" / "&amp;Anmeldung!$G$37&amp;" / "&amp;Anmeldung!$J$37,"")</f>
        <v/>
      </c>
      <c r="DU24" t="str">
        <f>IF(AND(30&lt;&gt;26,Anmeldung!$D$37&lt;&gt;"",(Anmeldung!$B$37&amp;": "&amp;Anmeldung!$D$37&amp;", "&amp;Anmeldung!$E$37&amp;" / "&amp;Anmeldung!$G$37&amp;" / "&amp;Anmeldung!$J$37)&lt;&gt;Anmeldung!$R$33),Anmeldung!$B$37&amp;": "&amp;Anmeldung!$D$37&amp;", "&amp;Anmeldung!$E$37&amp;" / "&amp;Anmeldung!$G$37&amp;" / "&amp;Anmeldung!$J$37,"")</f>
        <v/>
      </c>
      <c r="DV24" t="str">
        <f>IF(AND(29&lt;&gt;25,Anmeldung!$D$37&lt;&gt;"",Anmeldung!$U$37="Ja",Anmeldung!$G$37=Anmeldung!$G$33,Anmeldung!$J$37=Anmeldung!$J$33),Anmeldung!$B$37&amp;": "&amp;Anmeldung!$D$37&amp;", "&amp;Anmeldung!$E$37&amp;" / "&amp;Anmeldung!$G$37&amp;" / "&amp;Anmeldung!$J$37,"")</f>
        <v/>
      </c>
      <c r="DY24" t="str">
        <f>IF(AND(30&lt;&gt;27,Anmeldung!$D$37&lt;&gt;"",Anmeldung!$G$37=Anmeldung!$G$34,Anmeldung!$J$37=Anmeldung!$J$34),Anmeldung!$B$37&amp;": "&amp;Anmeldung!$D$37&amp;", "&amp;Anmeldung!$E$37&amp;" / "&amp;Anmeldung!$G$37&amp;" / "&amp;Anmeldung!$J$37,"")</f>
        <v/>
      </c>
      <c r="DZ24" t="str">
        <f>IF(AND(30&lt;&gt;27,Anmeldung!$D$37&lt;&gt;"",Anmeldung!$G$37=Anmeldung!$G$34,Anmeldung!$J$37=Anmeldung!$J$34,(Anmeldung!$B$37&amp;": "&amp;Anmeldung!$D$37&amp;", "&amp;Anmeldung!$E$37&amp;" / "&amp;Anmeldung!$G$37&amp;" / "&amp;Anmeldung!$J$37)&lt;&gt;Anmeldung!$P$34),Anmeldung!$B$37&amp;": "&amp;Anmeldung!$D$37&amp;", "&amp;Anmeldung!$E$37&amp;" / "&amp;Anmeldung!$G$37&amp;" / "&amp;Anmeldung!$J$37,"")</f>
        <v/>
      </c>
      <c r="EA24" t="str">
        <f>IF(AND(30&lt;&gt;27,Anmeldung!$D$37&lt;&gt;"",Anmeldung!$G$37=Anmeldung!$G$34,Anmeldung!$J$37=Anmeldung!$J$34,(Anmeldung!$B$37&amp;": "&amp;Anmeldung!$D$37&amp;", "&amp;Anmeldung!$E$37&amp;" / "&amp;Anmeldung!$G$37&amp;" / "&amp;Anmeldung!$J$37)&lt;&gt;Anmeldung!$O$34),Anmeldung!$B$37&amp;": "&amp;Anmeldung!$D$37&amp;", "&amp;Anmeldung!$E$37&amp;" / "&amp;Anmeldung!$G$37&amp;" / "&amp;Anmeldung!$J$37,"")</f>
        <v/>
      </c>
      <c r="EB24" t="str">
        <f>IF(AND(30&lt;&gt;27,Anmeldung!$D$37&lt;&gt;"",Anmeldung!$G$37&lt;&gt;Anmeldung!$G$34,(Anmeldung!$B$37&amp;": "&amp;Anmeldung!$D$37&amp;", "&amp;Anmeldung!$E$37&amp;" / "&amp;Anmeldung!$G$37&amp;" / "&amp;Anmeldung!$J$37)&lt;&gt;Anmeldung!$S$34),Anmeldung!$B$37&amp;": "&amp;Anmeldung!$D$37&amp;", "&amp;Anmeldung!$E$37&amp;" / "&amp;Anmeldung!$G$37&amp;" / "&amp;Anmeldung!$J$37,"")</f>
        <v/>
      </c>
      <c r="EC24" t="str">
        <f>IF(AND(30&lt;&gt;27,Anmeldung!$D$37&lt;&gt;"",(Anmeldung!$B$37&amp;": "&amp;Anmeldung!$D$37&amp;", "&amp;Anmeldung!$E$37&amp;" / "&amp;Anmeldung!$G$37&amp;" / "&amp;Anmeldung!$J$37)&lt;&gt;Anmeldung!$R$34),Anmeldung!$B$37&amp;": "&amp;Anmeldung!$D$37&amp;", "&amp;Anmeldung!$E$37&amp;" / "&amp;Anmeldung!$G$37&amp;" / "&amp;Anmeldung!$J$37,"")</f>
        <v/>
      </c>
      <c r="ED24" t="str">
        <f>IF(AND(29&lt;&gt;26,Anmeldung!$D$37&lt;&gt;"",Anmeldung!$U$37="Ja",Anmeldung!$G$37=Anmeldung!$G$34,Anmeldung!$J$37=Anmeldung!$J$34),Anmeldung!$B$37&amp;": "&amp;Anmeldung!$D$37&amp;", "&amp;Anmeldung!$E$37&amp;" / "&amp;Anmeldung!$G$37&amp;" / "&amp;Anmeldung!$J$37,"")</f>
        <v/>
      </c>
      <c r="EG24" t="str">
        <f>IF(AND(30&lt;&gt;28,Anmeldung!$D$37&lt;&gt;"",Anmeldung!$G$37=Anmeldung!$G$35,Anmeldung!$J$37=Anmeldung!$J$35),Anmeldung!$B$37&amp;": "&amp;Anmeldung!$D$37&amp;", "&amp;Anmeldung!$E$37&amp;" / "&amp;Anmeldung!$G$37&amp;" / "&amp;Anmeldung!$J$37,"")</f>
        <v/>
      </c>
      <c r="EH24" t="str">
        <f>IF(AND(30&lt;&gt;28,Anmeldung!$D$37&lt;&gt;"",Anmeldung!$G$37=Anmeldung!$G$35,Anmeldung!$J$37=Anmeldung!$J$35,(Anmeldung!$B$37&amp;": "&amp;Anmeldung!$D$37&amp;", "&amp;Anmeldung!$E$37&amp;" / "&amp;Anmeldung!$G$37&amp;" / "&amp;Anmeldung!$J$37)&lt;&gt;Anmeldung!$P$35),Anmeldung!$B$37&amp;": "&amp;Anmeldung!$D$37&amp;", "&amp;Anmeldung!$E$37&amp;" / "&amp;Anmeldung!$G$37&amp;" / "&amp;Anmeldung!$J$37,"")</f>
        <v/>
      </c>
      <c r="EI24" t="str">
        <f>IF(AND(30&lt;&gt;28,Anmeldung!$D$37&lt;&gt;"",Anmeldung!$G$37=Anmeldung!$G$35,Anmeldung!$J$37=Anmeldung!$J$35,(Anmeldung!$B$37&amp;": "&amp;Anmeldung!$D$37&amp;", "&amp;Anmeldung!$E$37&amp;" / "&amp;Anmeldung!$G$37&amp;" / "&amp;Anmeldung!$J$37)&lt;&gt;Anmeldung!$O$35),Anmeldung!$B$37&amp;": "&amp;Anmeldung!$D$37&amp;", "&amp;Anmeldung!$E$37&amp;" / "&amp;Anmeldung!$G$37&amp;" / "&amp;Anmeldung!$J$37,"")</f>
        <v/>
      </c>
      <c r="EJ24" t="str">
        <f>IF(AND(30&lt;&gt;28,Anmeldung!$D$37&lt;&gt;"",Anmeldung!$G$37&lt;&gt;Anmeldung!$G$35,(Anmeldung!$B$37&amp;": "&amp;Anmeldung!$D$37&amp;", "&amp;Anmeldung!$E$37&amp;" / "&amp;Anmeldung!$G$37&amp;" / "&amp;Anmeldung!$J$37)&lt;&gt;Anmeldung!$S$35),Anmeldung!$B$37&amp;": "&amp;Anmeldung!$D$37&amp;", "&amp;Anmeldung!$E$37&amp;" / "&amp;Anmeldung!$G$37&amp;" / "&amp;Anmeldung!$J$37,"")</f>
        <v/>
      </c>
      <c r="EK24" t="str">
        <f>IF(AND(30&lt;&gt;28,Anmeldung!$D$37&lt;&gt;"",(Anmeldung!$B$37&amp;": "&amp;Anmeldung!$D$37&amp;", "&amp;Anmeldung!$E$37&amp;" / "&amp;Anmeldung!$G$37&amp;" / "&amp;Anmeldung!$J$37)&lt;&gt;Anmeldung!$R$35),Anmeldung!$B$37&amp;": "&amp;Anmeldung!$D$37&amp;", "&amp;Anmeldung!$E$37&amp;" / "&amp;Anmeldung!$G$37&amp;" / "&amp;Anmeldung!$J$37,"")</f>
        <v/>
      </c>
      <c r="EL24" t="str">
        <f>IF(AND(29&lt;&gt;27,Anmeldung!$D$37&lt;&gt;"",Anmeldung!$U$37="Ja",Anmeldung!$G$37=Anmeldung!$G$35,Anmeldung!$J$37=Anmeldung!$J$35),Anmeldung!$B$37&amp;": "&amp;Anmeldung!$D$37&amp;", "&amp;Anmeldung!$E$37&amp;" / "&amp;Anmeldung!$G$37&amp;" / "&amp;Anmeldung!$J$37,"")</f>
        <v/>
      </c>
      <c r="EO24" t="str">
        <f>IF(AND(30&lt;&gt;29,Anmeldung!$D$37&lt;&gt;"",Anmeldung!$G$37=Anmeldung!$G$36,Anmeldung!$J$37=Anmeldung!$J$36),Anmeldung!$B$37&amp;": "&amp;Anmeldung!$D$37&amp;", "&amp;Anmeldung!$E$37&amp;" / "&amp;Anmeldung!$G$37&amp;" / "&amp;Anmeldung!$J$37,"")</f>
        <v/>
      </c>
      <c r="EP24" t="str">
        <f>IF(AND(30&lt;&gt;29,Anmeldung!$D$37&lt;&gt;"",Anmeldung!$G$37=Anmeldung!$G$36,Anmeldung!$J$37=Anmeldung!$J$36,(Anmeldung!$B$37&amp;": "&amp;Anmeldung!$D$37&amp;", "&amp;Anmeldung!$E$37&amp;" / "&amp;Anmeldung!$G$37&amp;" / "&amp;Anmeldung!$J$37)&lt;&gt;Anmeldung!$P$36),Anmeldung!$B$37&amp;": "&amp;Anmeldung!$D$37&amp;", "&amp;Anmeldung!$E$37&amp;" / "&amp;Anmeldung!$G$37&amp;" / "&amp;Anmeldung!$J$37,"")</f>
        <v/>
      </c>
      <c r="EQ24" t="str">
        <f>IF(AND(30&lt;&gt;29,Anmeldung!$D$37&lt;&gt;"",Anmeldung!$G$37=Anmeldung!$G$36,Anmeldung!$J$37=Anmeldung!$J$36,(Anmeldung!$B$37&amp;": "&amp;Anmeldung!$D$37&amp;", "&amp;Anmeldung!$E$37&amp;" / "&amp;Anmeldung!$G$37&amp;" / "&amp;Anmeldung!$J$37)&lt;&gt;Anmeldung!$O$36),Anmeldung!$B$37&amp;": "&amp;Anmeldung!$D$37&amp;", "&amp;Anmeldung!$E$37&amp;" / "&amp;Anmeldung!$G$37&amp;" / "&amp;Anmeldung!$J$37,"")</f>
        <v/>
      </c>
      <c r="ER24" t="str">
        <f>IF(AND(30&lt;&gt;29,Anmeldung!$D$37&lt;&gt;"",Anmeldung!$G$37&lt;&gt;Anmeldung!$G$36,(Anmeldung!$B$37&amp;": "&amp;Anmeldung!$D$37&amp;", "&amp;Anmeldung!$E$37&amp;" / "&amp;Anmeldung!$G$37&amp;" / "&amp;Anmeldung!$J$37)&lt;&gt;Anmeldung!$S$36),Anmeldung!$B$37&amp;": "&amp;Anmeldung!$D$37&amp;", "&amp;Anmeldung!$E$37&amp;" / "&amp;Anmeldung!$G$37&amp;" / "&amp;Anmeldung!$J$37,"")</f>
        <v/>
      </c>
      <c r="ES24" t="str">
        <f>IF(AND(30&lt;&gt;29,Anmeldung!$D$37&lt;&gt;"",(Anmeldung!$B$37&amp;": "&amp;Anmeldung!$D$37&amp;", "&amp;Anmeldung!$E$37&amp;" / "&amp;Anmeldung!$G$37&amp;" / "&amp;Anmeldung!$J$37)&lt;&gt;Anmeldung!$R$36),Anmeldung!$B$37&amp;": "&amp;Anmeldung!$D$37&amp;", "&amp;Anmeldung!$E$37&amp;" / "&amp;Anmeldung!$G$37&amp;" / "&amp;Anmeldung!$J$37,"")</f>
        <v/>
      </c>
      <c r="ET24" t="str">
        <f>IF(AND(29&lt;&gt;28,Anmeldung!$D$37&lt;&gt;"",Anmeldung!$U$37="Ja",Anmeldung!$G$37=Anmeldung!$G$36,Anmeldung!$J$37=Anmeldung!$J$36),Anmeldung!$B$37&amp;": "&amp;Anmeldung!$D$37&amp;", "&amp;Anmeldung!$E$37&amp;" / "&amp;Anmeldung!$G$37&amp;" / "&amp;Anmeldung!$J$37,"")</f>
        <v/>
      </c>
      <c r="EW24" t="str">
        <f>IF(AND(30&lt;&gt;30,Anmeldung!$D$37&lt;&gt;"",Anmeldung!$G$37=Anmeldung!$G$37,Anmeldung!$J$37=Anmeldung!$J$37),Anmeldung!$B$37&amp;": "&amp;Anmeldung!$D$37&amp;", "&amp;Anmeldung!$E$37&amp;" / "&amp;Anmeldung!$G$37&amp;" / "&amp;Anmeldung!$J$37,"")</f>
        <v/>
      </c>
      <c r="EX24" t="str">
        <f>IF(AND(30&lt;&gt;30,Anmeldung!$D$37&lt;&gt;"",Anmeldung!$G$37=Anmeldung!$G$37,Anmeldung!$J$37=Anmeldung!$J$37,(Anmeldung!$B$37&amp;": "&amp;Anmeldung!$D$37&amp;", "&amp;Anmeldung!$E$37&amp;" / "&amp;Anmeldung!$G$37&amp;" / "&amp;Anmeldung!$J$37)&lt;&gt;Anmeldung!$P$37),Anmeldung!$B$37&amp;": "&amp;Anmeldung!$D$37&amp;", "&amp;Anmeldung!$E$37&amp;" / "&amp;Anmeldung!$G$37&amp;" / "&amp;Anmeldung!$J$37,"")</f>
        <v/>
      </c>
      <c r="EY24" t="str">
        <f>IF(AND(30&lt;&gt;30,Anmeldung!$D$37&lt;&gt;"",Anmeldung!$G$37=Anmeldung!$G$37,Anmeldung!$J$37=Anmeldung!$J$37,(Anmeldung!$B$37&amp;": "&amp;Anmeldung!$D$37&amp;", "&amp;Anmeldung!$E$37&amp;" / "&amp;Anmeldung!$G$37&amp;" / "&amp;Anmeldung!$J$37)&lt;&gt;Anmeldung!$O$37),Anmeldung!$B$37&amp;": "&amp;Anmeldung!$D$37&amp;", "&amp;Anmeldung!$E$37&amp;" / "&amp;Anmeldung!$G$37&amp;" / "&amp;Anmeldung!$J$37,"")</f>
        <v/>
      </c>
      <c r="EZ24" t="str">
        <f>IF(AND(30&lt;&gt;30,Anmeldung!$D$37&lt;&gt;"",Anmeldung!$G$37&lt;&gt;Anmeldung!$G$37,(Anmeldung!$B$37&amp;": "&amp;Anmeldung!$D$37&amp;", "&amp;Anmeldung!$E$37&amp;" / "&amp;Anmeldung!$G$37&amp;" / "&amp;Anmeldung!$J$37)&lt;&gt;Anmeldung!$S$37),Anmeldung!$B$37&amp;": "&amp;Anmeldung!$D$37&amp;", "&amp;Anmeldung!$E$37&amp;" / "&amp;Anmeldung!$G$37&amp;" / "&amp;Anmeldung!$J$37,"")</f>
        <v/>
      </c>
      <c r="FA24" t="str">
        <f>IF(AND(30&lt;&gt;30,Anmeldung!$D$37&lt;&gt;"",(Anmeldung!$B$37&amp;": "&amp;Anmeldung!$D$37&amp;", "&amp;Anmeldung!$E$37&amp;" / "&amp;Anmeldung!$G$37&amp;" / "&amp;Anmeldung!$J$37)&lt;&gt;Anmeldung!$R$37),Anmeldung!$B$37&amp;": "&amp;Anmeldung!$D$37&amp;", "&amp;Anmeldung!$E$37&amp;" / "&amp;Anmeldung!$G$37&amp;" / "&amp;Anmeldung!$J$37,"")</f>
        <v/>
      </c>
      <c r="FB24" t="str">
        <f>IF(AND(29&lt;&gt;29,Anmeldung!$D$37&lt;&gt;"",Anmeldung!$U$37="Ja",Anmeldung!$G$37=Anmeldung!$G$37,Anmeldung!$J$37=Anmeldung!$J$37),Anmeldung!$B$37&amp;": "&amp;Anmeldung!$D$37&amp;", "&amp;Anmeldung!$E$37&amp;" / "&amp;Anmeldung!$G$37&amp;" / "&amp;Anmeldung!$J$37,"")</f>
        <v/>
      </c>
      <c r="FE24" t="str">
        <f>IF(AND(30&lt;&gt;31,Anmeldung!$D$37&lt;&gt;"",Anmeldung!$G$37=Anmeldung!$G$38,Anmeldung!$J$37=Anmeldung!$J$38),Anmeldung!$B$37&amp;": "&amp;Anmeldung!$D$37&amp;", "&amp;Anmeldung!$E$37&amp;" / "&amp;Anmeldung!$G$37&amp;" / "&amp;Anmeldung!$J$37,"")</f>
        <v/>
      </c>
      <c r="FF24" t="str">
        <f>IF(AND(30&lt;&gt;31,Anmeldung!$D$37&lt;&gt;"",Anmeldung!$G$37=Anmeldung!$G$38,Anmeldung!$J$37=Anmeldung!$J$38,(Anmeldung!$B$37&amp;": "&amp;Anmeldung!$D$37&amp;", "&amp;Anmeldung!$E$37&amp;" / "&amp;Anmeldung!$G$37&amp;" / "&amp;Anmeldung!$J$37)&lt;&gt;Anmeldung!$P$38),Anmeldung!$B$37&amp;": "&amp;Anmeldung!$D$37&amp;", "&amp;Anmeldung!$E$37&amp;" / "&amp;Anmeldung!$G$37&amp;" / "&amp;Anmeldung!$J$37,"")</f>
        <v/>
      </c>
      <c r="FG24" t="str">
        <f>IF(AND(30&lt;&gt;31,Anmeldung!$D$37&lt;&gt;"",Anmeldung!$G$37=Anmeldung!$G$38,Anmeldung!$J$37=Anmeldung!$J$38,(Anmeldung!$B$37&amp;": "&amp;Anmeldung!$D$37&amp;", "&amp;Anmeldung!$E$37&amp;" / "&amp;Anmeldung!$G$37&amp;" / "&amp;Anmeldung!$J$37)&lt;&gt;Anmeldung!$O$38),Anmeldung!$B$37&amp;": "&amp;Anmeldung!$D$37&amp;", "&amp;Anmeldung!$E$37&amp;" / "&amp;Anmeldung!$G$37&amp;" / "&amp;Anmeldung!$J$37,"")</f>
        <v/>
      </c>
      <c r="FH24" t="str">
        <f>IF(AND(30&lt;&gt;31,Anmeldung!$D$37&lt;&gt;"",Anmeldung!$G$37&lt;&gt;Anmeldung!$G$38,(Anmeldung!$B$37&amp;": "&amp;Anmeldung!$D$37&amp;", "&amp;Anmeldung!$E$37&amp;" / "&amp;Anmeldung!$G$37&amp;" / "&amp;Anmeldung!$J$37)&lt;&gt;Anmeldung!$S$38),Anmeldung!$B$37&amp;": "&amp;Anmeldung!$D$37&amp;", "&amp;Anmeldung!$E$37&amp;" / "&amp;Anmeldung!$G$37&amp;" / "&amp;Anmeldung!$J$37,"")</f>
        <v/>
      </c>
      <c r="FI24" t="str">
        <f>IF(AND(30&lt;&gt;31,Anmeldung!$D$37&lt;&gt;"",(Anmeldung!$B$37&amp;": "&amp;Anmeldung!$D$37&amp;", "&amp;Anmeldung!$E$37&amp;" / "&amp;Anmeldung!$G$37&amp;" / "&amp;Anmeldung!$J$37)&lt;&gt;Anmeldung!$R$38),Anmeldung!$B$37&amp;": "&amp;Anmeldung!$D$37&amp;", "&amp;Anmeldung!$E$37&amp;" / "&amp;Anmeldung!$G$37&amp;" / "&amp;Anmeldung!$J$37,"")</f>
        <v/>
      </c>
      <c r="FJ24" t="str">
        <f>IF(AND(29&lt;&gt;30,Anmeldung!$D$37&lt;&gt;"",Anmeldung!$U$37="Ja",Anmeldung!$G$37=Anmeldung!$G$38,Anmeldung!$J$37=Anmeldung!$J$38),Anmeldung!$B$37&amp;": "&amp;Anmeldung!$D$37&amp;", "&amp;Anmeldung!$E$37&amp;" / "&amp;Anmeldung!$G$37&amp;" / "&amp;Anmeldung!$J$37,"")</f>
        <v/>
      </c>
      <c r="FM24" t="str">
        <f>IF(AND(30&lt;&gt;32,Anmeldung!$D$37&lt;&gt;"",Anmeldung!$G$37=Anmeldung!$G$39,Anmeldung!$J$37=Anmeldung!$J$39),Anmeldung!$B$37&amp;": "&amp;Anmeldung!$D$37&amp;", "&amp;Anmeldung!$E$37&amp;" / "&amp;Anmeldung!$G$37&amp;" / "&amp;Anmeldung!$J$37,"")</f>
        <v/>
      </c>
      <c r="FN24" t="str">
        <f>IF(AND(30&lt;&gt;32,Anmeldung!$D$37&lt;&gt;"",Anmeldung!$G$37=Anmeldung!$G$39,Anmeldung!$J$37=Anmeldung!$J$39,(Anmeldung!$B$37&amp;": "&amp;Anmeldung!$D$37&amp;", "&amp;Anmeldung!$E$37&amp;" / "&amp;Anmeldung!$G$37&amp;" / "&amp;Anmeldung!$J$37)&lt;&gt;Anmeldung!$P$39),Anmeldung!$B$37&amp;": "&amp;Anmeldung!$D$37&amp;", "&amp;Anmeldung!$E$37&amp;" / "&amp;Anmeldung!$G$37&amp;" / "&amp;Anmeldung!$J$37,"")</f>
        <v/>
      </c>
      <c r="FO24" t="str">
        <f>IF(AND(30&lt;&gt;32,Anmeldung!$D$37&lt;&gt;"",Anmeldung!$G$37=Anmeldung!$G$39,Anmeldung!$J$37=Anmeldung!$J$39,(Anmeldung!$B$37&amp;": "&amp;Anmeldung!$D$37&amp;", "&amp;Anmeldung!$E$37&amp;" / "&amp;Anmeldung!$G$37&amp;" / "&amp;Anmeldung!$J$37)&lt;&gt;Anmeldung!$O$39),Anmeldung!$B$37&amp;": "&amp;Anmeldung!$D$37&amp;", "&amp;Anmeldung!$E$37&amp;" / "&amp;Anmeldung!$G$37&amp;" / "&amp;Anmeldung!$J$37,"")</f>
        <v/>
      </c>
      <c r="FP24" t="str">
        <f>IF(AND(30&lt;&gt;32,Anmeldung!$D$37&lt;&gt;"",Anmeldung!$G$37&lt;&gt;Anmeldung!$G$39,(Anmeldung!$B$37&amp;": "&amp;Anmeldung!$D$37&amp;", "&amp;Anmeldung!$E$37&amp;" / "&amp;Anmeldung!$G$37&amp;" / "&amp;Anmeldung!$J$37)&lt;&gt;Anmeldung!$S$39),Anmeldung!$B$37&amp;": "&amp;Anmeldung!$D$37&amp;", "&amp;Anmeldung!$E$37&amp;" / "&amp;Anmeldung!$G$37&amp;" / "&amp;Anmeldung!$J$37,"")</f>
        <v/>
      </c>
      <c r="FQ24" t="str">
        <f>IF(AND(30&lt;&gt;32,Anmeldung!$D$37&lt;&gt;"",(Anmeldung!$B$37&amp;": "&amp;Anmeldung!$D$37&amp;", "&amp;Anmeldung!$E$37&amp;" / "&amp;Anmeldung!$G$37&amp;" / "&amp;Anmeldung!$J$37)&lt;&gt;Anmeldung!$R$39),Anmeldung!$B$37&amp;": "&amp;Anmeldung!$D$37&amp;", "&amp;Anmeldung!$E$37&amp;" / "&amp;Anmeldung!$G$37&amp;" / "&amp;Anmeldung!$J$37,"")</f>
        <v/>
      </c>
      <c r="FR24" t="str">
        <f>IF(AND(29&lt;&gt;31,Anmeldung!$D$37&lt;&gt;"",Anmeldung!$U$37="Ja",Anmeldung!$G$37=Anmeldung!$G$39,Anmeldung!$J$37=Anmeldung!$J$39),Anmeldung!$B$37&amp;": "&amp;Anmeldung!$D$37&amp;", "&amp;Anmeldung!$E$37&amp;" / "&amp;Anmeldung!$G$37&amp;" / "&amp;Anmeldung!$J$37,"")</f>
        <v/>
      </c>
      <c r="FU24" t="str">
        <f>IF(AND(30&lt;&gt;33,Anmeldung!$D$37&lt;&gt;"",Anmeldung!$G$37=Anmeldung!$G$40,Anmeldung!$J$37=Anmeldung!$J$40),Anmeldung!$B$37&amp;": "&amp;Anmeldung!$D$37&amp;", "&amp;Anmeldung!$E$37&amp;" / "&amp;Anmeldung!$G$37&amp;" / "&amp;Anmeldung!$J$37,"")</f>
        <v/>
      </c>
      <c r="FV24" t="str">
        <f>IF(AND(30&lt;&gt;33,Anmeldung!$D$37&lt;&gt;"",Anmeldung!$G$37=Anmeldung!$G$40,Anmeldung!$J$37=Anmeldung!$J$40,(Anmeldung!$B$37&amp;": "&amp;Anmeldung!$D$37&amp;", "&amp;Anmeldung!$E$37&amp;" / "&amp;Anmeldung!$G$37&amp;" / "&amp;Anmeldung!$J$37)&lt;&gt;Anmeldung!$P$40),Anmeldung!$B$37&amp;": "&amp;Anmeldung!$D$37&amp;", "&amp;Anmeldung!$E$37&amp;" / "&amp;Anmeldung!$G$37&amp;" / "&amp;Anmeldung!$J$37,"")</f>
        <v/>
      </c>
      <c r="FW24" t="str">
        <f>IF(AND(30&lt;&gt;33,Anmeldung!$D$37&lt;&gt;"",Anmeldung!$G$37=Anmeldung!$G$40,Anmeldung!$J$37=Anmeldung!$J$40,(Anmeldung!$B$37&amp;": "&amp;Anmeldung!$D$37&amp;", "&amp;Anmeldung!$E$37&amp;" / "&amp;Anmeldung!$G$37&amp;" / "&amp;Anmeldung!$J$37)&lt;&gt;Anmeldung!$O$40),Anmeldung!$B$37&amp;": "&amp;Anmeldung!$D$37&amp;", "&amp;Anmeldung!$E$37&amp;" / "&amp;Anmeldung!$G$37&amp;" / "&amp;Anmeldung!$J$37,"")</f>
        <v/>
      </c>
      <c r="FX24" t="str">
        <f>IF(AND(30&lt;&gt;33,Anmeldung!$D$37&lt;&gt;"",Anmeldung!$G$37&lt;&gt;Anmeldung!$G$40,(Anmeldung!$B$37&amp;": "&amp;Anmeldung!$D$37&amp;", "&amp;Anmeldung!$E$37&amp;" / "&amp;Anmeldung!$G$37&amp;" / "&amp;Anmeldung!$J$37)&lt;&gt;Anmeldung!$S$40),Anmeldung!$B$37&amp;": "&amp;Anmeldung!$D$37&amp;", "&amp;Anmeldung!$E$37&amp;" / "&amp;Anmeldung!$G$37&amp;" / "&amp;Anmeldung!$J$37,"")</f>
        <v/>
      </c>
      <c r="FY24" t="str">
        <f>IF(AND(30&lt;&gt;33,Anmeldung!$D$37&lt;&gt;"",(Anmeldung!$B$37&amp;": "&amp;Anmeldung!$D$37&amp;", "&amp;Anmeldung!$E$37&amp;" / "&amp;Anmeldung!$G$37&amp;" / "&amp;Anmeldung!$J$37)&lt;&gt;Anmeldung!$R$40),Anmeldung!$B$37&amp;": "&amp;Anmeldung!$D$37&amp;", "&amp;Anmeldung!$E$37&amp;" / "&amp;Anmeldung!$G$37&amp;" / "&amp;Anmeldung!$J$37,"")</f>
        <v/>
      </c>
      <c r="FZ24" t="str">
        <f>IF(AND(29&lt;&gt;32,Anmeldung!$D$37&lt;&gt;"",Anmeldung!$U$37="Ja",Anmeldung!$G$37=Anmeldung!$G$40,Anmeldung!$J$37=Anmeldung!$J$40),Anmeldung!$B$37&amp;": "&amp;Anmeldung!$D$37&amp;", "&amp;Anmeldung!$E$37&amp;" / "&amp;Anmeldung!$G$37&amp;" / "&amp;Anmeldung!$J$37,"")</f>
        <v/>
      </c>
      <c r="GC24" t="str">
        <f>IF(AND(30&lt;&gt;34,Anmeldung!$D$37&lt;&gt;"",Anmeldung!$G$37=Anmeldung!$G$41,Anmeldung!$J$37=Anmeldung!$J$41),Anmeldung!$B$37&amp;": "&amp;Anmeldung!$D$37&amp;", "&amp;Anmeldung!$E$37&amp;" / "&amp;Anmeldung!$G$37&amp;" / "&amp;Anmeldung!$J$37,"")</f>
        <v/>
      </c>
      <c r="GD24" t="str">
        <f>IF(AND(30&lt;&gt;34,Anmeldung!$D$37&lt;&gt;"",Anmeldung!$G$37=Anmeldung!$G$41,Anmeldung!$J$37=Anmeldung!$J$41,(Anmeldung!$B$37&amp;": "&amp;Anmeldung!$D$37&amp;", "&amp;Anmeldung!$E$37&amp;" / "&amp;Anmeldung!$G$37&amp;" / "&amp;Anmeldung!$J$37)&lt;&gt;Anmeldung!$P$41),Anmeldung!$B$37&amp;": "&amp;Anmeldung!$D$37&amp;", "&amp;Anmeldung!$E$37&amp;" / "&amp;Anmeldung!$G$37&amp;" / "&amp;Anmeldung!$J$37,"")</f>
        <v/>
      </c>
      <c r="GE24" t="str">
        <f>IF(AND(30&lt;&gt;34,Anmeldung!$D$37&lt;&gt;"",Anmeldung!$G$37=Anmeldung!$G$41,Anmeldung!$J$37=Anmeldung!$J$41,(Anmeldung!$B$37&amp;": "&amp;Anmeldung!$D$37&amp;", "&amp;Anmeldung!$E$37&amp;" / "&amp;Anmeldung!$G$37&amp;" / "&amp;Anmeldung!$J$37)&lt;&gt;Anmeldung!$O$41),Anmeldung!$B$37&amp;": "&amp;Anmeldung!$D$37&amp;", "&amp;Anmeldung!$E$37&amp;" / "&amp;Anmeldung!$G$37&amp;" / "&amp;Anmeldung!$J$37,"")</f>
        <v/>
      </c>
      <c r="GF24" t="str">
        <f>IF(AND(30&lt;&gt;34,Anmeldung!$D$37&lt;&gt;"",Anmeldung!$G$37&lt;&gt;Anmeldung!$G$41,(Anmeldung!$B$37&amp;": "&amp;Anmeldung!$D$37&amp;", "&amp;Anmeldung!$E$37&amp;" / "&amp;Anmeldung!$G$37&amp;" / "&amp;Anmeldung!$J$37)&lt;&gt;Anmeldung!$S$41),Anmeldung!$B$37&amp;": "&amp;Anmeldung!$D$37&amp;", "&amp;Anmeldung!$E$37&amp;" / "&amp;Anmeldung!$G$37&amp;" / "&amp;Anmeldung!$J$37,"")</f>
        <v/>
      </c>
      <c r="GG24" t="str">
        <f>IF(AND(30&lt;&gt;34,Anmeldung!$D$37&lt;&gt;"",(Anmeldung!$B$37&amp;": "&amp;Anmeldung!$D$37&amp;", "&amp;Anmeldung!$E$37&amp;" / "&amp;Anmeldung!$G$37&amp;" / "&amp;Anmeldung!$J$37)&lt;&gt;Anmeldung!$R$41),Anmeldung!$B$37&amp;": "&amp;Anmeldung!$D$37&amp;", "&amp;Anmeldung!$E$37&amp;" / "&amp;Anmeldung!$G$37&amp;" / "&amp;Anmeldung!$J$37,"")</f>
        <v/>
      </c>
      <c r="GH24" t="str">
        <f>IF(AND(29&lt;&gt;33,Anmeldung!$D$37&lt;&gt;"",Anmeldung!$U$37="Ja",Anmeldung!$G$37=Anmeldung!$G$41,Anmeldung!$J$37=Anmeldung!$J$41),Anmeldung!$B$37&amp;": "&amp;Anmeldung!$D$37&amp;", "&amp;Anmeldung!$E$37&amp;" / "&amp;Anmeldung!$G$37&amp;" / "&amp;Anmeldung!$J$37,"")</f>
        <v/>
      </c>
      <c r="GK24" t="str">
        <f>IF(AND(30&lt;&gt;35,Anmeldung!$D$37&lt;&gt;"",Anmeldung!$G$37=Anmeldung!$G$42,Anmeldung!$J$37=Anmeldung!$J$42),Anmeldung!$B$37&amp;": "&amp;Anmeldung!$D$37&amp;", "&amp;Anmeldung!$E$37&amp;" / "&amp;Anmeldung!$G$37&amp;" / "&amp;Anmeldung!$J$37,"")</f>
        <v/>
      </c>
      <c r="GL24" t="str">
        <f>IF(AND(30&lt;&gt;35,Anmeldung!$D$37&lt;&gt;"",Anmeldung!$G$37=Anmeldung!$G$42,Anmeldung!$J$37=Anmeldung!$J$42,(Anmeldung!$B$37&amp;": "&amp;Anmeldung!$D$37&amp;", "&amp;Anmeldung!$E$37&amp;" / "&amp;Anmeldung!$G$37&amp;" / "&amp;Anmeldung!$J$37)&lt;&gt;Anmeldung!$P$42),Anmeldung!$B$37&amp;": "&amp;Anmeldung!$D$37&amp;", "&amp;Anmeldung!$E$37&amp;" / "&amp;Anmeldung!$G$37&amp;" / "&amp;Anmeldung!$J$37,"")</f>
        <v/>
      </c>
      <c r="GM24" t="str">
        <f>IF(AND(30&lt;&gt;35,Anmeldung!$D$37&lt;&gt;"",Anmeldung!$G$37=Anmeldung!$G$42,Anmeldung!$J$37=Anmeldung!$J$42,(Anmeldung!$B$37&amp;": "&amp;Anmeldung!$D$37&amp;", "&amp;Anmeldung!$E$37&amp;" / "&amp;Anmeldung!$G$37&amp;" / "&amp;Anmeldung!$J$37)&lt;&gt;Anmeldung!$O$42),Anmeldung!$B$37&amp;": "&amp;Anmeldung!$D$37&amp;", "&amp;Anmeldung!$E$37&amp;" / "&amp;Anmeldung!$G$37&amp;" / "&amp;Anmeldung!$J$37,"")</f>
        <v/>
      </c>
      <c r="GN24" t="str">
        <f>IF(AND(30&lt;&gt;35,Anmeldung!$D$37&lt;&gt;"",Anmeldung!$G$37&lt;&gt;Anmeldung!$G$42,(Anmeldung!$B$37&amp;": "&amp;Anmeldung!$D$37&amp;", "&amp;Anmeldung!$E$37&amp;" / "&amp;Anmeldung!$G$37&amp;" / "&amp;Anmeldung!$J$37)&lt;&gt;Anmeldung!$S$42),Anmeldung!$B$37&amp;": "&amp;Anmeldung!$D$37&amp;", "&amp;Anmeldung!$E$37&amp;" / "&amp;Anmeldung!$G$37&amp;" / "&amp;Anmeldung!$J$37,"")</f>
        <v/>
      </c>
      <c r="GO24" t="str">
        <f>IF(AND(30&lt;&gt;35,Anmeldung!$D$37&lt;&gt;"",(Anmeldung!$B$37&amp;": "&amp;Anmeldung!$D$37&amp;", "&amp;Anmeldung!$E$37&amp;" / "&amp;Anmeldung!$G$37&amp;" / "&amp;Anmeldung!$J$37)&lt;&gt;Anmeldung!$R$42),Anmeldung!$B$37&amp;": "&amp;Anmeldung!$D$37&amp;", "&amp;Anmeldung!$E$37&amp;" / "&amp;Anmeldung!$G$37&amp;" / "&amp;Anmeldung!$J$37,"")</f>
        <v/>
      </c>
      <c r="GP24" t="str">
        <f>IF(AND(29&lt;&gt;34,Anmeldung!$D$37&lt;&gt;"",Anmeldung!$U$37="Ja",Anmeldung!$G$37=Anmeldung!$G$42,Anmeldung!$J$37=Anmeldung!$J$42),Anmeldung!$B$37&amp;": "&amp;Anmeldung!$D$37&amp;", "&amp;Anmeldung!$E$37&amp;" / "&amp;Anmeldung!$G$37&amp;" / "&amp;Anmeldung!$J$37,"")</f>
        <v/>
      </c>
      <c r="GS24" t="str">
        <f>IF(AND(30&lt;&gt;36,Anmeldung!$D$37&lt;&gt;"",Anmeldung!$G$37=Anmeldung!$G$43,Anmeldung!$J$37=Anmeldung!$J$43),Anmeldung!$B$37&amp;": "&amp;Anmeldung!$D$37&amp;", "&amp;Anmeldung!$E$37&amp;" / "&amp;Anmeldung!$G$37&amp;" / "&amp;Anmeldung!$J$37,"")</f>
        <v/>
      </c>
      <c r="GT24" t="str">
        <f>IF(AND(30&lt;&gt;36,Anmeldung!$D$37&lt;&gt;"",Anmeldung!$G$37=Anmeldung!$G$43,Anmeldung!$J$37=Anmeldung!$J$43,(Anmeldung!$B$37&amp;": "&amp;Anmeldung!$D$37&amp;", "&amp;Anmeldung!$E$37&amp;" / "&amp;Anmeldung!$G$37&amp;" / "&amp;Anmeldung!$J$37)&lt;&gt;Anmeldung!$P$43),Anmeldung!$B$37&amp;": "&amp;Anmeldung!$D$37&amp;", "&amp;Anmeldung!$E$37&amp;" / "&amp;Anmeldung!$G$37&amp;" / "&amp;Anmeldung!$J$37,"")</f>
        <v/>
      </c>
      <c r="GU24" t="str">
        <f>IF(AND(30&lt;&gt;36,Anmeldung!$D$37&lt;&gt;"",Anmeldung!$G$37=Anmeldung!$G$43,Anmeldung!$J$37=Anmeldung!$J$43,(Anmeldung!$B$37&amp;": "&amp;Anmeldung!$D$37&amp;", "&amp;Anmeldung!$E$37&amp;" / "&amp;Anmeldung!$G$37&amp;" / "&amp;Anmeldung!$J$37)&lt;&gt;Anmeldung!$O$43),Anmeldung!$B$37&amp;": "&amp;Anmeldung!$D$37&amp;", "&amp;Anmeldung!$E$37&amp;" / "&amp;Anmeldung!$G$37&amp;" / "&amp;Anmeldung!$J$37,"")</f>
        <v/>
      </c>
      <c r="GV24" t="str">
        <f>IF(AND(30&lt;&gt;36,Anmeldung!$D$37&lt;&gt;"",Anmeldung!$G$37&lt;&gt;Anmeldung!$G$43,(Anmeldung!$B$37&amp;": "&amp;Anmeldung!$D$37&amp;", "&amp;Anmeldung!$E$37&amp;" / "&amp;Anmeldung!$G$37&amp;" / "&amp;Anmeldung!$J$37)&lt;&gt;Anmeldung!$S$43),Anmeldung!$B$37&amp;": "&amp;Anmeldung!$D$37&amp;", "&amp;Anmeldung!$E$37&amp;" / "&amp;Anmeldung!$G$37&amp;" / "&amp;Anmeldung!$J$37,"")</f>
        <v/>
      </c>
      <c r="GW24" t="str">
        <f>IF(AND(30&lt;&gt;36,Anmeldung!$D$37&lt;&gt;"",(Anmeldung!$B$37&amp;": "&amp;Anmeldung!$D$37&amp;", "&amp;Anmeldung!$E$37&amp;" / "&amp;Anmeldung!$G$37&amp;" / "&amp;Anmeldung!$J$37)&lt;&gt;Anmeldung!$R$43),Anmeldung!$B$37&amp;": "&amp;Anmeldung!$D$37&amp;", "&amp;Anmeldung!$E$37&amp;" / "&amp;Anmeldung!$G$37&amp;" / "&amp;Anmeldung!$J$37,"")</f>
        <v/>
      </c>
      <c r="GX24" t="str">
        <f>IF(AND(29&lt;&gt;35,Anmeldung!$D$37&lt;&gt;"",Anmeldung!$U$37="Ja",Anmeldung!$G$37=Anmeldung!$G$43,Anmeldung!$J$37=Anmeldung!$J$43),Anmeldung!$B$37&amp;": "&amp;Anmeldung!$D$37&amp;", "&amp;Anmeldung!$E$37&amp;" / "&amp;Anmeldung!$G$37&amp;" / "&amp;Anmeldung!$J$37,"")</f>
        <v/>
      </c>
      <c r="HA24" t="str">
        <f>IF(AND(30&lt;&gt;37,Anmeldung!$D$37&lt;&gt;"",Anmeldung!$G$37=Anmeldung!$G$44,Anmeldung!$J$37=Anmeldung!$J$44),Anmeldung!$B$37&amp;": "&amp;Anmeldung!$D$37&amp;", "&amp;Anmeldung!$E$37&amp;" / "&amp;Anmeldung!$G$37&amp;" / "&amp;Anmeldung!$J$37,"")</f>
        <v/>
      </c>
      <c r="HB24" t="str">
        <f>IF(AND(30&lt;&gt;37,Anmeldung!$D$37&lt;&gt;"",Anmeldung!$G$37=Anmeldung!$G$44,Anmeldung!$J$37=Anmeldung!$J$44,(Anmeldung!$B$37&amp;": "&amp;Anmeldung!$D$37&amp;", "&amp;Anmeldung!$E$37&amp;" / "&amp;Anmeldung!$G$37&amp;" / "&amp;Anmeldung!$J$37)&lt;&gt;Anmeldung!$P$44),Anmeldung!$B$37&amp;": "&amp;Anmeldung!$D$37&amp;", "&amp;Anmeldung!$E$37&amp;" / "&amp;Anmeldung!$G$37&amp;" / "&amp;Anmeldung!$J$37,"")</f>
        <v/>
      </c>
      <c r="HC24" t="str">
        <f>IF(AND(30&lt;&gt;37,Anmeldung!$D$37&lt;&gt;"",Anmeldung!$G$37=Anmeldung!$G$44,Anmeldung!$J$37=Anmeldung!$J$44,(Anmeldung!$B$37&amp;": "&amp;Anmeldung!$D$37&amp;", "&amp;Anmeldung!$E$37&amp;" / "&amp;Anmeldung!$G$37&amp;" / "&amp;Anmeldung!$J$37)&lt;&gt;Anmeldung!$O$44),Anmeldung!$B$37&amp;": "&amp;Anmeldung!$D$37&amp;", "&amp;Anmeldung!$E$37&amp;" / "&amp;Anmeldung!$G$37&amp;" / "&amp;Anmeldung!$J$37,"")</f>
        <v/>
      </c>
      <c r="HD24" t="str">
        <f>IF(AND(30&lt;&gt;37,Anmeldung!$D$37&lt;&gt;"",Anmeldung!$G$37&lt;&gt;Anmeldung!$G$44,(Anmeldung!$B$37&amp;": "&amp;Anmeldung!$D$37&amp;", "&amp;Anmeldung!$E$37&amp;" / "&amp;Anmeldung!$G$37&amp;" / "&amp;Anmeldung!$J$37)&lt;&gt;Anmeldung!$S$44),Anmeldung!$B$37&amp;": "&amp;Anmeldung!$D$37&amp;", "&amp;Anmeldung!$E$37&amp;" / "&amp;Anmeldung!$G$37&amp;" / "&amp;Anmeldung!$J$37,"")</f>
        <v/>
      </c>
      <c r="HE24" t="str">
        <f>IF(AND(30&lt;&gt;37,Anmeldung!$D$37&lt;&gt;"",(Anmeldung!$B$37&amp;": "&amp;Anmeldung!$D$37&amp;", "&amp;Anmeldung!$E$37&amp;" / "&amp;Anmeldung!$G$37&amp;" / "&amp;Anmeldung!$J$37)&lt;&gt;Anmeldung!$R$44),Anmeldung!$B$37&amp;": "&amp;Anmeldung!$D$37&amp;", "&amp;Anmeldung!$E$37&amp;" / "&amp;Anmeldung!$G$37&amp;" / "&amp;Anmeldung!$J$37,"")</f>
        <v/>
      </c>
      <c r="HF24" t="str">
        <f>IF(AND(29&lt;&gt;36,Anmeldung!$D$37&lt;&gt;"",Anmeldung!$U$37="Ja",Anmeldung!$G$37=Anmeldung!$G$44,Anmeldung!$J$37=Anmeldung!$J$44),Anmeldung!$B$37&amp;": "&amp;Anmeldung!$D$37&amp;", "&amp;Anmeldung!$E$37&amp;" / "&amp;Anmeldung!$G$37&amp;" / "&amp;Anmeldung!$J$37,"")</f>
        <v/>
      </c>
      <c r="HI24" t="str">
        <f>IF(AND(30&lt;&gt;38,Anmeldung!$D$37&lt;&gt;"",Anmeldung!$G$37=Anmeldung!$G$45,Anmeldung!$J$37=Anmeldung!$J$45),Anmeldung!$B$37&amp;": "&amp;Anmeldung!$D$37&amp;", "&amp;Anmeldung!$E$37&amp;" / "&amp;Anmeldung!$G$37&amp;" / "&amp;Anmeldung!$J$37,"")</f>
        <v/>
      </c>
      <c r="HJ24" t="str">
        <f>IF(AND(30&lt;&gt;38,Anmeldung!$D$37&lt;&gt;"",Anmeldung!$G$37=Anmeldung!$G$45,Anmeldung!$J$37=Anmeldung!$J$45,(Anmeldung!$B$37&amp;": "&amp;Anmeldung!$D$37&amp;", "&amp;Anmeldung!$E$37&amp;" / "&amp;Anmeldung!$G$37&amp;" / "&amp;Anmeldung!$J$37)&lt;&gt;Anmeldung!$P$45),Anmeldung!$B$37&amp;": "&amp;Anmeldung!$D$37&amp;", "&amp;Anmeldung!$E$37&amp;" / "&amp;Anmeldung!$G$37&amp;" / "&amp;Anmeldung!$J$37,"")</f>
        <v/>
      </c>
      <c r="HK24" t="str">
        <f>IF(AND(30&lt;&gt;38,Anmeldung!$D$37&lt;&gt;"",Anmeldung!$G$37=Anmeldung!$G$45,Anmeldung!$J$37=Anmeldung!$J$45,(Anmeldung!$B$37&amp;": "&amp;Anmeldung!$D$37&amp;", "&amp;Anmeldung!$E$37&amp;" / "&amp;Anmeldung!$G$37&amp;" / "&amp;Anmeldung!$J$37)&lt;&gt;Anmeldung!$O$45),Anmeldung!$B$37&amp;": "&amp;Anmeldung!$D$37&amp;", "&amp;Anmeldung!$E$37&amp;" / "&amp;Anmeldung!$G$37&amp;" / "&amp;Anmeldung!$J$37,"")</f>
        <v/>
      </c>
      <c r="HL24" t="str">
        <f>IF(AND(30&lt;&gt;38,Anmeldung!$D$37&lt;&gt;"",Anmeldung!$G$37&lt;&gt;Anmeldung!$G$45,(Anmeldung!$B$37&amp;": "&amp;Anmeldung!$D$37&amp;", "&amp;Anmeldung!$E$37&amp;" / "&amp;Anmeldung!$G$37&amp;" / "&amp;Anmeldung!$J$37)&lt;&gt;Anmeldung!$S$45),Anmeldung!$B$37&amp;": "&amp;Anmeldung!$D$37&amp;", "&amp;Anmeldung!$E$37&amp;" / "&amp;Anmeldung!$G$37&amp;" / "&amp;Anmeldung!$J$37,"")</f>
        <v/>
      </c>
      <c r="HM24" t="str">
        <f>IF(AND(30&lt;&gt;38,Anmeldung!$D$37&lt;&gt;"",(Anmeldung!$B$37&amp;": "&amp;Anmeldung!$D$37&amp;", "&amp;Anmeldung!$E$37&amp;" / "&amp;Anmeldung!$G$37&amp;" / "&amp;Anmeldung!$J$37)&lt;&gt;Anmeldung!$R$45),Anmeldung!$B$37&amp;": "&amp;Anmeldung!$D$37&amp;", "&amp;Anmeldung!$E$37&amp;" / "&amp;Anmeldung!$G$37&amp;" / "&amp;Anmeldung!$J$37,"")</f>
        <v/>
      </c>
      <c r="HN24" t="str">
        <f>IF(AND(29&lt;&gt;37,Anmeldung!$D$37&lt;&gt;"",Anmeldung!$U$37="Ja",Anmeldung!$G$37=Anmeldung!$G$45,Anmeldung!$J$37=Anmeldung!$J$45),Anmeldung!$B$37&amp;": "&amp;Anmeldung!$D$37&amp;", "&amp;Anmeldung!$E$37&amp;" / "&amp;Anmeldung!$G$37&amp;" / "&amp;Anmeldung!$J$37,"")</f>
        <v/>
      </c>
      <c r="HQ24" t="str">
        <f>IF(AND(30&lt;&gt;39,Anmeldung!$D$37&lt;&gt;"",Anmeldung!$G$37=Anmeldung!$G$46,Anmeldung!$J$37=Anmeldung!$J$46),Anmeldung!$B$37&amp;": "&amp;Anmeldung!$D$37&amp;", "&amp;Anmeldung!$E$37&amp;" / "&amp;Anmeldung!$G$37&amp;" / "&amp;Anmeldung!$J$37,"")</f>
        <v/>
      </c>
      <c r="HR24" t="str">
        <f>IF(AND(30&lt;&gt;39,Anmeldung!$D$37&lt;&gt;"",Anmeldung!$G$37=Anmeldung!$G$46,Anmeldung!$J$37=Anmeldung!$J$46,(Anmeldung!$B$37&amp;": "&amp;Anmeldung!$D$37&amp;", "&amp;Anmeldung!$E$37&amp;" / "&amp;Anmeldung!$G$37&amp;" / "&amp;Anmeldung!$J$37)&lt;&gt;Anmeldung!$P$46),Anmeldung!$B$37&amp;": "&amp;Anmeldung!$D$37&amp;", "&amp;Anmeldung!$E$37&amp;" / "&amp;Anmeldung!$G$37&amp;" / "&amp;Anmeldung!$J$37,"")</f>
        <v/>
      </c>
      <c r="HS24" t="str">
        <f>IF(AND(30&lt;&gt;39,Anmeldung!$D$37&lt;&gt;"",Anmeldung!$G$37=Anmeldung!$G$46,Anmeldung!$J$37=Anmeldung!$J$46,(Anmeldung!$B$37&amp;": "&amp;Anmeldung!$D$37&amp;", "&amp;Anmeldung!$E$37&amp;" / "&amp;Anmeldung!$G$37&amp;" / "&amp;Anmeldung!$J$37)&lt;&gt;Anmeldung!$O$46),Anmeldung!$B$37&amp;": "&amp;Anmeldung!$D$37&amp;", "&amp;Anmeldung!$E$37&amp;" / "&amp;Anmeldung!$G$37&amp;" / "&amp;Anmeldung!$J$37,"")</f>
        <v/>
      </c>
      <c r="HT24" t="str">
        <f>IF(AND(30&lt;&gt;39,Anmeldung!$D$37&lt;&gt;"",Anmeldung!$G$37&lt;&gt;Anmeldung!$G$46,(Anmeldung!$B$37&amp;": "&amp;Anmeldung!$D$37&amp;", "&amp;Anmeldung!$E$37&amp;" / "&amp;Anmeldung!$G$37&amp;" / "&amp;Anmeldung!$J$37)&lt;&gt;Anmeldung!$S$46),Anmeldung!$B$37&amp;": "&amp;Anmeldung!$D$37&amp;", "&amp;Anmeldung!$E$37&amp;" / "&amp;Anmeldung!$G$37&amp;" / "&amp;Anmeldung!$J$37,"")</f>
        <v/>
      </c>
      <c r="HU24" t="str">
        <f>IF(AND(30&lt;&gt;39,Anmeldung!$D$37&lt;&gt;"",(Anmeldung!$B$37&amp;": "&amp;Anmeldung!$D$37&amp;", "&amp;Anmeldung!$E$37&amp;" / "&amp;Anmeldung!$G$37&amp;" / "&amp;Anmeldung!$J$37)&lt;&gt;Anmeldung!$R$46),Anmeldung!$B$37&amp;": "&amp;Anmeldung!$D$37&amp;", "&amp;Anmeldung!$E$37&amp;" / "&amp;Anmeldung!$G$37&amp;" / "&amp;Anmeldung!$J$37,"")</f>
        <v/>
      </c>
      <c r="HV24" t="str">
        <f>IF(AND(29&lt;&gt;38,Anmeldung!$D$37&lt;&gt;"",Anmeldung!$U$37="Ja",Anmeldung!$G$37=Anmeldung!$G$46,Anmeldung!$J$37=Anmeldung!$J$46),Anmeldung!$B$37&amp;": "&amp;Anmeldung!$D$37&amp;", "&amp;Anmeldung!$E$37&amp;" / "&amp;Anmeldung!$G$37&amp;" / "&amp;Anmeldung!$J$37,"")</f>
        <v/>
      </c>
      <c r="HY24" t="str">
        <f>IF(AND(30&lt;&gt;40,Anmeldung!$D$37&lt;&gt;"",Anmeldung!$G$37=Anmeldung!$G$47,Anmeldung!$J$37=Anmeldung!$J$47),Anmeldung!$B$37&amp;": "&amp;Anmeldung!$D$37&amp;", "&amp;Anmeldung!$E$37&amp;" / "&amp;Anmeldung!$G$37&amp;" / "&amp;Anmeldung!$J$37,"")</f>
        <v/>
      </c>
      <c r="HZ24" t="str">
        <f>IF(AND(30&lt;&gt;40,Anmeldung!$D$37&lt;&gt;"",Anmeldung!$G$37=Anmeldung!$G$47,Anmeldung!$J$37=Anmeldung!$J$47,(Anmeldung!$B$37&amp;": "&amp;Anmeldung!$D$37&amp;", "&amp;Anmeldung!$E$37&amp;" / "&amp;Anmeldung!$G$37&amp;" / "&amp;Anmeldung!$J$37)&lt;&gt;Anmeldung!$P$47),Anmeldung!$B$37&amp;": "&amp;Anmeldung!$D$37&amp;", "&amp;Anmeldung!$E$37&amp;" / "&amp;Anmeldung!$G$37&amp;" / "&amp;Anmeldung!$J$37,"")</f>
        <v/>
      </c>
      <c r="IA24" t="str">
        <f>IF(AND(30&lt;&gt;40,Anmeldung!$D$37&lt;&gt;"",Anmeldung!$G$37=Anmeldung!$G$47,Anmeldung!$J$37=Anmeldung!$J$47,(Anmeldung!$B$37&amp;": "&amp;Anmeldung!$D$37&amp;", "&amp;Anmeldung!$E$37&amp;" / "&amp;Anmeldung!$G$37&amp;" / "&amp;Anmeldung!$J$37)&lt;&gt;Anmeldung!$O$47),Anmeldung!$B$37&amp;": "&amp;Anmeldung!$D$37&amp;", "&amp;Anmeldung!$E$37&amp;" / "&amp;Anmeldung!$G$37&amp;" / "&amp;Anmeldung!$J$37,"")</f>
        <v/>
      </c>
      <c r="IB24" t="str">
        <f>IF(AND(30&lt;&gt;40,Anmeldung!$D$37&lt;&gt;"",Anmeldung!$G$37&lt;&gt;Anmeldung!$G$47,(Anmeldung!$B$37&amp;": "&amp;Anmeldung!$D$37&amp;", "&amp;Anmeldung!$E$37&amp;" / "&amp;Anmeldung!$G$37&amp;" / "&amp;Anmeldung!$J$37)&lt;&gt;Anmeldung!$S$47),Anmeldung!$B$37&amp;": "&amp;Anmeldung!$D$37&amp;", "&amp;Anmeldung!$E$37&amp;" / "&amp;Anmeldung!$G$37&amp;" / "&amp;Anmeldung!$J$37,"")</f>
        <v/>
      </c>
      <c r="IC24" t="str">
        <f>IF(AND(30&lt;&gt;40,Anmeldung!$D$37&lt;&gt;"",(Anmeldung!$B$37&amp;": "&amp;Anmeldung!$D$37&amp;", "&amp;Anmeldung!$E$37&amp;" / "&amp;Anmeldung!$G$37&amp;" / "&amp;Anmeldung!$J$37)&lt;&gt;Anmeldung!$R$47),Anmeldung!$B$37&amp;": "&amp;Anmeldung!$D$37&amp;", "&amp;Anmeldung!$E$37&amp;" / "&amp;Anmeldung!$G$37&amp;" / "&amp;Anmeldung!$J$37,"")</f>
        <v/>
      </c>
      <c r="ID24" t="str">
        <f>IF(AND(29&lt;&gt;39,Anmeldung!$D$37&lt;&gt;"",Anmeldung!$U$37="Ja",Anmeldung!$G$37=Anmeldung!$G$47,Anmeldung!$J$37=Anmeldung!$J$47),Anmeldung!$B$37&amp;": "&amp;Anmeldung!$D$37&amp;", "&amp;Anmeldung!$E$37&amp;" / "&amp;Anmeldung!$G$37&amp;" / "&amp;Anmeldung!$J$37,"")</f>
        <v/>
      </c>
    </row>
    <row r="25" spans="1:238" ht="14.25" customHeight="1" x14ac:dyDescent="0.3">
      <c r="A25" t="str">
        <f>IF(AND(31&lt;&gt;11,Anmeldung!$D$38&lt;&gt;"",Anmeldung!$G$38=Anmeldung!$G$18,Anmeldung!$J$38=Anmeldung!$J$18),Anmeldung!$B$38&amp;": "&amp;Anmeldung!$D$38&amp;", "&amp;Anmeldung!$E$38&amp;" / "&amp;Anmeldung!$G$38&amp;" / "&amp;Anmeldung!$J$38,"")</f>
        <v/>
      </c>
      <c r="B25" t="str">
        <f>IF(AND(31&lt;&gt;11,Anmeldung!$D$38&lt;&gt;"",Anmeldung!$G$38=Anmeldung!$G$18,Anmeldung!$J$38=Anmeldung!$J$18,(Anmeldung!$B$38&amp;": "&amp;Anmeldung!$D$38&amp;", "&amp;Anmeldung!$E$38&amp;" / "&amp;Anmeldung!$G$38&amp;" / "&amp;Anmeldung!$J$38)&lt;&gt;Anmeldung!$P$18),Anmeldung!$B$38&amp;": "&amp;Anmeldung!$D$38&amp;", "&amp;Anmeldung!$E$38&amp;" / "&amp;Anmeldung!$G$38&amp;" / "&amp;Anmeldung!$J$38,"")</f>
        <v/>
      </c>
      <c r="C25" t="str">
        <f>IF(AND(31&lt;&gt;11,Anmeldung!$D$38&lt;&gt;"",Anmeldung!$G$38=Anmeldung!$G$18,Anmeldung!$J$38=Anmeldung!$J$18,(Anmeldung!$B$38&amp;": "&amp;Anmeldung!$D$38&amp;", "&amp;Anmeldung!$E$38&amp;" / "&amp;Anmeldung!$G$38&amp;" / "&amp;Anmeldung!$J$38)&lt;&gt;Anmeldung!$O$18),Anmeldung!$B$38&amp;": "&amp;Anmeldung!$D$38&amp;", "&amp;Anmeldung!$E$38&amp;" / "&amp;Anmeldung!$G$38&amp;" / "&amp;Anmeldung!$J$38,"")</f>
        <v/>
      </c>
      <c r="D25" t="str">
        <f>IF(AND(31&lt;&gt;11,Anmeldung!$D$38&lt;&gt;"",Anmeldung!$G$38&lt;&gt;Anmeldung!$G$18,(Anmeldung!$B$38&amp;": "&amp;Anmeldung!$D$38&amp;", "&amp;Anmeldung!$E$38&amp;" / "&amp;Anmeldung!$G$38&amp;" / "&amp;Anmeldung!$J$38)&lt;&gt;Anmeldung!$S$18),Anmeldung!$B$38&amp;": "&amp;Anmeldung!$D$38&amp;", "&amp;Anmeldung!$E$38&amp;" / "&amp;Anmeldung!$G$38&amp;" / "&amp;Anmeldung!$J$38,"")</f>
        <v/>
      </c>
      <c r="E25" t="str">
        <f>IF(AND(31&lt;&gt;11,Anmeldung!$D$38&lt;&gt;"",(Anmeldung!$B$38&amp;": "&amp;Anmeldung!$D$38&amp;", "&amp;Anmeldung!$E$38&amp;" / "&amp;Anmeldung!$G$38&amp;" / "&amp;Anmeldung!$J$38)&lt;&gt;Anmeldung!$R$18),Anmeldung!$B$38&amp;": "&amp;Anmeldung!$D$38&amp;", "&amp;Anmeldung!$E$38&amp;" / "&amp;Anmeldung!$G$38&amp;" / "&amp;Anmeldung!$J$38,"")</f>
        <v/>
      </c>
      <c r="F25" t="str">
        <f>IF(AND(30&lt;&gt;10,Anmeldung!$D$38&lt;&gt;"",Anmeldung!$U$38="Ja",Anmeldung!$G$38=Anmeldung!$G$18,Anmeldung!$J$38=Anmeldung!$J$18),Anmeldung!$B$38&amp;": "&amp;Anmeldung!$D$38&amp;", "&amp;Anmeldung!$E$38&amp;" / "&amp;Anmeldung!$G$38&amp;" / "&amp;Anmeldung!$J$38,"")</f>
        <v/>
      </c>
      <c r="I25" t="str">
        <f>IF(AND(31&lt;&gt;12,Anmeldung!$D$38&lt;&gt;"",Anmeldung!$G$38=Anmeldung!$G$19,Anmeldung!$J$38=Anmeldung!$J$19),Anmeldung!$B$38&amp;": "&amp;Anmeldung!$D$38&amp;", "&amp;Anmeldung!$E$38&amp;" / "&amp;Anmeldung!$G$38&amp;" / "&amp;Anmeldung!$J$38,"")</f>
        <v/>
      </c>
      <c r="J25" t="str">
        <f>IF(AND(31&lt;&gt;12,Anmeldung!$D$38&lt;&gt;"",Anmeldung!$G$38=Anmeldung!$G$19,Anmeldung!$J$38=Anmeldung!$J$19,(Anmeldung!$B$38&amp;": "&amp;Anmeldung!$D$38&amp;", "&amp;Anmeldung!$E$38&amp;" / "&amp;Anmeldung!$G$38&amp;" / "&amp;Anmeldung!$J$38)&lt;&gt;Anmeldung!$P$19),Anmeldung!$B$38&amp;": "&amp;Anmeldung!$D$38&amp;", "&amp;Anmeldung!$E$38&amp;" / "&amp;Anmeldung!$G$38&amp;" / "&amp;Anmeldung!$J$38,"")</f>
        <v/>
      </c>
      <c r="K25" t="str">
        <f>IF(AND(31&lt;&gt;12,Anmeldung!$D$38&lt;&gt;"",Anmeldung!$G$38=Anmeldung!$G$19,Anmeldung!$J$38=Anmeldung!$J$19,(Anmeldung!$B$38&amp;": "&amp;Anmeldung!$D$38&amp;", "&amp;Anmeldung!$E$38&amp;" / "&amp;Anmeldung!$G$38&amp;" / "&amp;Anmeldung!$J$38)&lt;&gt;Anmeldung!$O$19),Anmeldung!$B$38&amp;": "&amp;Anmeldung!$D$38&amp;", "&amp;Anmeldung!$E$38&amp;" / "&amp;Anmeldung!$G$38&amp;" / "&amp;Anmeldung!$J$38,"")</f>
        <v/>
      </c>
      <c r="L25" t="str">
        <f>IF(AND(31&lt;&gt;12,Anmeldung!$D$38&lt;&gt;"",Anmeldung!$G$38&lt;&gt;Anmeldung!$G$19,(Anmeldung!$B$38&amp;": "&amp;Anmeldung!$D$38&amp;", "&amp;Anmeldung!$E$38&amp;" / "&amp;Anmeldung!$G$38&amp;" / "&amp;Anmeldung!$J$38)&lt;&gt;Anmeldung!$S$19),Anmeldung!$B$38&amp;": "&amp;Anmeldung!$D$38&amp;", "&amp;Anmeldung!$E$38&amp;" / "&amp;Anmeldung!$G$38&amp;" / "&amp;Anmeldung!$J$38,"")</f>
        <v/>
      </c>
      <c r="M25" t="str">
        <f>IF(AND(31&lt;&gt;12,Anmeldung!$D$38&lt;&gt;"",(Anmeldung!$B$38&amp;": "&amp;Anmeldung!$D$38&amp;", "&amp;Anmeldung!$E$38&amp;" / "&amp;Anmeldung!$G$38&amp;" / "&amp;Anmeldung!$J$38)&lt;&gt;Anmeldung!$R$19),Anmeldung!$B$38&amp;": "&amp;Anmeldung!$D$38&amp;", "&amp;Anmeldung!$E$38&amp;" / "&amp;Anmeldung!$G$38&amp;" / "&amp;Anmeldung!$J$38,"")</f>
        <v/>
      </c>
      <c r="N25" t="str">
        <f>IF(AND(30&lt;&gt;11,Anmeldung!$D$38&lt;&gt;"",Anmeldung!$U$38="Ja",Anmeldung!$G$38=Anmeldung!$G$19,Anmeldung!$J$38=Anmeldung!$J$19),Anmeldung!$B$38&amp;": "&amp;Anmeldung!$D$38&amp;", "&amp;Anmeldung!$E$38&amp;" / "&amp;Anmeldung!$G$38&amp;" / "&amp;Anmeldung!$J$38,"")</f>
        <v/>
      </c>
      <c r="Q25" t="str">
        <f>IF(AND(31&lt;&gt;13,Anmeldung!$D$38&lt;&gt;"",Anmeldung!$G$38=Anmeldung!$G$20,Anmeldung!$J$38=Anmeldung!$J$20),Anmeldung!$B$38&amp;": "&amp;Anmeldung!$D$38&amp;", "&amp;Anmeldung!$E$38&amp;" / "&amp;Anmeldung!$G$38&amp;" / "&amp;Anmeldung!$J$38,"")</f>
        <v/>
      </c>
      <c r="R25" t="str">
        <f>IF(AND(31&lt;&gt;13,Anmeldung!$D$38&lt;&gt;"",Anmeldung!$G$38=Anmeldung!$G$20,Anmeldung!$J$38=Anmeldung!$J$20,(Anmeldung!$B$38&amp;": "&amp;Anmeldung!$D$38&amp;", "&amp;Anmeldung!$E$38&amp;" / "&amp;Anmeldung!$G$38&amp;" / "&amp;Anmeldung!$J$38)&lt;&gt;Anmeldung!$P$20),Anmeldung!$B$38&amp;": "&amp;Anmeldung!$D$38&amp;", "&amp;Anmeldung!$E$38&amp;" / "&amp;Anmeldung!$G$38&amp;" / "&amp;Anmeldung!$J$38,"")</f>
        <v/>
      </c>
      <c r="S25" t="str">
        <f>IF(AND(31&lt;&gt;13,Anmeldung!$D$38&lt;&gt;"",Anmeldung!$G$38=Anmeldung!$G$20,Anmeldung!$J$38=Anmeldung!$J$20,(Anmeldung!$B$38&amp;": "&amp;Anmeldung!$D$38&amp;", "&amp;Anmeldung!$E$38&amp;" / "&amp;Anmeldung!$G$38&amp;" / "&amp;Anmeldung!$J$38)&lt;&gt;Anmeldung!$O$20),Anmeldung!$B$38&amp;": "&amp;Anmeldung!$D$38&amp;", "&amp;Anmeldung!$E$38&amp;" / "&amp;Anmeldung!$G$38&amp;" / "&amp;Anmeldung!$J$38,"")</f>
        <v/>
      </c>
      <c r="T25" t="str">
        <f>IF(AND(31&lt;&gt;13,Anmeldung!$D$38&lt;&gt;"",Anmeldung!$G$38&lt;&gt;Anmeldung!$G$20,(Anmeldung!$B$38&amp;": "&amp;Anmeldung!$D$38&amp;", "&amp;Anmeldung!$E$38&amp;" / "&amp;Anmeldung!$G$38&amp;" / "&amp;Anmeldung!$J$38)&lt;&gt;Anmeldung!$S$20),Anmeldung!$B$38&amp;": "&amp;Anmeldung!$D$38&amp;", "&amp;Anmeldung!$E$38&amp;" / "&amp;Anmeldung!$G$38&amp;" / "&amp;Anmeldung!$J$38,"")</f>
        <v/>
      </c>
      <c r="U25" t="str">
        <f>IF(AND(31&lt;&gt;13,Anmeldung!$D$38&lt;&gt;"",(Anmeldung!$B$38&amp;": "&amp;Anmeldung!$D$38&amp;", "&amp;Anmeldung!$E$38&amp;" / "&amp;Anmeldung!$G$38&amp;" / "&amp;Anmeldung!$J$38)&lt;&gt;Anmeldung!$R$20),Anmeldung!$B$38&amp;": "&amp;Anmeldung!$D$38&amp;", "&amp;Anmeldung!$E$38&amp;" / "&amp;Anmeldung!$G$38&amp;" / "&amp;Anmeldung!$J$38,"")</f>
        <v/>
      </c>
      <c r="V25" t="str">
        <f>IF(AND(30&lt;&gt;12,Anmeldung!$D$38&lt;&gt;"",Anmeldung!$U$38="Ja",Anmeldung!$G$38=Anmeldung!$G$20,Anmeldung!$J$38=Anmeldung!$J$20),Anmeldung!$B$38&amp;": "&amp;Anmeldung!$D$38&amp;", "&amp;Anmeldung!$E$38&amp;" / "&amp;Anmeldung!$G$38&amp;" / "&amp;Anmeldung!$J$38,"")</f>
        <v/>
      </c>
      <c r="Y25" t="str">
        <f>IF(AND(31&lt;&gt;14,Anmeldung!$D$38&lt;&gt;"",Anmeldung!$G$38=Anmeldung!$G$21,Anmeldung!$J$38=Anmeldung!$J$21),Anmeldung!$B$38&amp;": "&amp;Anmeldung!$D$38&amp;", "&amp;Anmeldung!$E$38&amp;" / "&amp;Anmeldung!$G$38&amp;" / "&amp;Anmeldung!$J$38,"")</f>
        <v/>
      </c>
      <c r="Z25" t="str">
        <f>IF(AND(31&lt;&gt;14,Anmeldung!$D$38&lt;&gt;"",Anmeldung!$G$38=Anmeldung!$G$21,Anmeldung!$J$38=Anmeldung!$J$21,(Anmeldung!$B$38&amp;": "&amp;Anmeldung!$D$38&amp;", "&amp;Anmeldung!$E$38&amp;" / "&amp;Anmeldung!$G$38&amp;" / "&amp;Anmeldung!$J$38)&lt;&gt;Anmeldung!$P$21),Anmeldung!$B$38&amp;": "&amp;Anmeldung!$D$38&amp;", "&amp;Anmeldung!$E$38&amp;" / "&amp;Anmeldung!$G$38&amp;" / "&amp;Anmeldung!$J$38,"")</f>
        <v/>
      </c>
      <c r="AA25" t="str">
        <f>IF(AND(31&lt;&gt;14,Anmeldung!$D$38&lt;&gt;"",Anmeldung!$G$38=Anmeldung!$G$21,Anmeldung!$J$38=Anmeldung!$J$21,(Anmeldung!$B$38&amp;": "&amp;Anmeldung!$D$38&amp;", "&amp;Anmeldung!$E$38&amp;" / "&amp;Anmeldung!$G$38&amp;" / "&amp;Anmeldung!$J$38)&lt;&gt;Anmeldung!$O$21),Anmeldung!$B$38&amp;": "&amp;Anmeldung!$D$38&amp;", "&amp;Anmeldung!$E$38&amp;" / "&amp;Anmeldung!$G$38&amp;" / "&amp;Anmeldung!$J$38,"")</f>
        <v/>
      </c>
      <c r="AB25" t="str">
        <f>IF(AND(31&lt;&gt;14,Anmeldung!$D$38&lt;&gt;"",Anmeldung!$G$38&lt;&gt;Anmeldung!$G$21,(Anmeldung!$B$38&amp;": "&amp;Anmeldung!$D$38&amp;", "&amp;Anmeldung!$E$38&amp;" / "&amp;Anmeldung!$G$38&amp;" / "&amp;Anmeldung!$J$38)&lt;&gt;Anmeldung!$S$21),Anmeldung!$B$38&amp;": "&amp;Anmeldung!$D$38&amp;", "&amp;Anmeldung!$E$38&amp;" / "&amp;Anmeldung!$G$38&amp;" / "&amp;Anmeldung!$J$38,"")</f>
        <v/>
      </c>
      <c r="AC25" t="str">
        <f>IF(AND(31&lt;&gt;14,Anmeldung!$D$38&lt;&gt;"",(Anmeldung!$B$38&amp;": "&amp;Anmeldung!$D$38&amp;", "&amp;Anmeldung!$E$38&amp;" / "&amp;Anmeldung!$G$38&amp;" / "&amp;Anmeldung!$J$38)&lt;&gt;Anmeldung!$R$21),Anmeldung!$B$38&amp;": "&amp;Anmeldung!$D$38&amp;", "&amp;Anmeldung!$E$38&amp;" / "&amp;Anmeldung!$G$38&amp;" / "&amp;Anmeldung!$J$38,"")</f>
        <v/>
      </c>
      <c r="AD25" t="str">
        <f>IF(AND(30&lt;&gt;13,Anmeldung!$D$38&lt;&gt;"",Anmeldung!$U$38="Ja",Anmeldung!$G$38=Anmeldung!$G$21,Anmeldung!$J$38=Anmeldung!$J$21),Anmeldung!$B$38&amp;": "&amp;Anmeldung!$D$38&amp;", "&amp;Anmeldung!$E$38&amp;" / "&amp;Anmeldung!$G$38&amp;" / "&amp;Anmeldung!$J$38,"")</f>
        <v/>
      </c>
      <c r="AG25" t="str">
        <f>IF(AND(31&lt;&gt;15,Anmeldung!$D$38&lt;&gt;"",Anmeldung!$G$38=Anmeldung!$G$22,Anmeldung!$J$38=Anmeldung!$J$22),Anmeldung!$B$38&amp;": "&amp;Anmeldung!$D$38&amp;", "&amp;Anmeldung!$E$38&amp;" / "&amp;Anmeldung!$G$38&amp;" / "&amp;Anmeldung!$J$38,"")</f>
        <v/>
      </c>
      <c r="AH25" t="str">
        <f>IF(AND(31&lt;&gt;15,Anmeldung!$D$38&lt;&gt;"",Anmeldung!$G$38=Anmeldung!$G$22,Anmeldung!$J$38=Anmeldung!$J$22,(Anmeldung!$B$38&amp;": "&amp;Anmeldung!$D$38&amp;", "&amp;Anmeldung!$E$38&amp;" / "&amp;Anmeldung!$G$38&amp;" / "&amp;Anmeldung!$J$38)&lt;&gt;Anmeldung!$P$22),Anmeldung!$B$38&amp;": "&amp;Anmeldung!$D$38&amp;", "&amp;Anmeldung!$E$38&amp;" / "&amp;Anmeldung!$G$38&amp;" / "&amp;Anmeldung!$J$38,"")</f>
        <v/>
      </c>
      <c r="AI25" t="str">
        <f>IF(AND(31&lt;&gt;15,Anmeldung!$D$38&lt;&gt;"",Anmeldung!$G$38=Anmeldung!$G$22,Anmeldung!$J$38=Anmeldung!$J$22,(Anmeldung!$B$38&amp;": "&amp;Anmeldung!$D$38&amp;", "&amp;Anmeldung!$E$38&amp;" / "&amp;Anmeldung!$G$38&amp;" / "&amp;Anmeldung!$J$38)&lt;&gt;Anmeldung!$O$22),Anmeldung!$B$38&amp;": "&amp;Anmeldung!$D$38&amp;", "&amp;Anmeldung!$E$38&amp;" / "&amp;Anmeldung!$G$38&amp;" / "&amp;Anmeldung!$J$38,"")</f>
        <v/>
      </c>
      <c r="AJ25" t="str">
        <f>IF(AND(31&lt;&gt;15,Anmeldung!$D$38&lt;&gt;"",Anmeldung!$G$38&lt;&gt;Anmeldung!$G$22,(Anmeldung!$B$38&amp;": "&amp;Anmeldung!$D$38&amp;", "&amp;Anmeldung!$E$38&amp;" / "&amp;Anmeldung!$G$38&amp;" / "&amp;Anmeldung!$J$38)&lt;&gt;Anmeldung!$S$22),Anmeldung!$B$38&amp;": "&amp;Anmeldung!$D$38&amp;", "&amp;Anmeldung!$E$38&amp;" / "&amp;Anmeldung!$G$38&amp;" / "&amp;Anmeldung!$J$38,"")</f>
        <v/>
      </c>
      <c r="AK25" t="str">
        <f>IF(AND(31&lt;&gt;15,Anmeldung!$D$38&lt;&gt;"",(Anmeldung!$B$38&amp;": "&amp;Anmeldung!$D$38&amp;", "&amp;Anmeldung!$E$38&amp;" / "&amp;Anmeldung!$G$38&amp;" / "&amp;Anmeldung!$J$38)&lt;&gt;Anmeldung!$R$22),Anmeldung!$B$38&amp;": "&amp;Anmeldung!$D$38&amp;", "&amp;Anmeldung!$E$38&amp;" / "&amp;Anmeldung!$G$38&amp;" / "&amp;Anmeldung!$J$38,"")</f>
        <v/>
      </c>
      <c r="AL25" t="str">
        <f>IF(AND(30&lt;&gt;14,Anmeldung!$D$38&lt;&gt;"",Anmeldung!$U$38="Ja",Anmeldung!$G$38=Anmeldung!$G$22,Anmeldung!$J$38=Anmeldung!$J$22),Anmeldung!$B$38&amp;": "&amp;Anmeldung!$D$38&amp;", "&amp;Anmeldung!$E$38&amp;" / "&amp;Anmeldung!$G$38&amp;" / "&amp;Anmeldung!$J$38,"")</f>
        <v/>
      </c>
      <c r="AO25" t="str">
        <f>IF(AND(31&lt;&gt;16,Anmeldung!$D$38&lt;&gt;"",Anmeldung!$G$38=Anmeldung!$G$23,Anmeldung!$J$38=Anmeldung!$J$23),Anmeldung!$B$38&amp;": "&amp;Anmeldung!$D$38&amp;", "&amp;Anmeldung!$E$38&amp;" / "&amp;Anmeldung!$G$38&amp;" / "&amp;Anmeldung!$J$38,"")</f>
        <v/>
      </c>
      <c r="AP25" t="str">
        <f>IF(AND(31&lt;&gt;16,Anmeldung!$D$38&lt;&gt;"",Anmeldung!$G$38=Anmeldung!$G$23,Anmeldung!$J$38=Anmeldung!$J$23,(Anmeldung!$B$38&amp;": "&amp;Anmeldung!$D$38&amp;", "&amp;Anmeldung!$E$38&amp;" / "&amp;Anmeldung!$G$38&amp;" / "&amp;Anmeldung!$J$38)&lt;&gt;Anmeldung!$P$23),Anmeldung!$B$38&amp;": "&amp;Anmeldung!$D$38&amp;", "&amp;Anmeldung!$E$38&amp;" / "&amp;Anmeldung!$G$38&amp;" / "&amp;Anmeldung!$J$38,"")</f>
        <v/>
      </c>
      <c r="AQ25" t="str">
        <f>IF(AND(31&lt;&gt;16,Anmeldung!$D$38&lt;&gt;"",Anmeldung!$G$38=Anmeldung!$G$23,Anmeldung!$J$38=Anmeldung!$J$23,(Anmeldung!$B$38&amp;": "&amp;Anmeldung!$D$38&amp;", "&amp;Anmeldung!$E$38&amp;" / "&amp;Anmeldung!$G$38&amp;" / "&amp;Anmeldung!$J$38)&lt;&gt;Anmeldung!$O$23),Anmeldung!$B$38&amp;": "&amp;Anmeldung!$D$38&amp;", "&amp;Anmeldung!$E$38&amp;" / "&amp;Anmeldung!$G$38&amp;" / "&amp;Anmeldung!$J$38,"")</f>
        <v/>
      </c>
      <c r="AR25" t="str">
        <f>IF(AND(31&lt;&gt;16,Anmeldung!$D$38&lt;&gt;"",Anmeldung!$G$38&lt;&gt;Anmeldung!$G$23,(Anmeldung!$B$38&amp;": "&amp;Anmeldung!$D$38&amp;", "&amp;Anmeldung!$E$38&amp;" / "&amp;Anmeldung!$G$38&amp;" / "&amp;Anmeldung!$J$38)&lt;&gt;Anmeldung!$S$23),Anmeldung!$B$38&amp;": "&amp;Anmeldung!$D$38&amp;", "&amp;Anmeldung!$E$38&amp;" / "&amp;Anmeldung!$G$38&amp;" / "&amp;Anmeldung!$J$38,"")</f>
        <v/>
      </c>
      <c r="AS25" t="str">
        <f>IF(AND(31&lt;&gt;16,Anmeldung!$D$38&lt;&gt;"",(Anmeldung!$B$38&amp;": "&amp;Anmeldung!$D$38&amp;", "&amp;Anmeldung!$E$38&amp;" / "&amp;Anmeldung!$G$38&amp;" / "&amp;Anmeldung!$J$38)&lt;&gt;Anmeldung!$R$23),Anmeldung!$B$38&amp;": "&amp;Anmeldung!$D$38&amp;", "&amp;Anmeldung!$E$38&amp;" / "&amp;Anmeldung!$G$38&amp;" / "&amp;Anmeldung!$J$38,"")</f>
        <v/>
      </c>
      <c r="AT25" t="str">
        <f>IF(AND(30&lt;&gt;15,Anmeldung!$D$38&lt;&gt;"",Anmeldung!$U$38="Ja",Anmeldung!$G$38=Anmeldung!$G$23,Anmeldung!$J$38=Anmeldung!$J$23),Anmeldung!$B$38&amp;": "&amp;Anmeldung!$D$38&amp;", "&amp;Anmeldung!$E$38&amp;" / "&amp;Anmeldung!$G$38&amp;" / "&amp;Anmeldung!$J$38,"")</f>
        <v/>
      </c>
      <c r="AW25" t="str">
        <f>IF(AND(31&lt;&gt;17,Anmeldung!$D$38&lt;&gt;"",Anmeldung!$G$38=Anmeldung!$G$24,Anmeldung!$J$38=Anmeldung!$J$24),Anmeldung!$B$38&amp;": "&amp;Anmeldung!$D$38&amp;", "&amp;Anmeldung!$E$38&amp;" / "&amp;Anmeldung!$G$38&amp;" / "&amp;Anmeldung!$J$38,"")</f>
        <v/>
      </c>
      <c r="AX25" t="str">
        <f>IF(AND(31&lt;&gt;17,Anmeldung!$D$38&lt;&gt;"",Anmeldung!$G$38=Anmeldung!$G$24,Anmeldung!$J$38=Anmeldung!$J$24,(Anmeldung!$B$38&amp;": "&amp;Anmeldung!$D$38&amp;", "&amp;Anmeldung!$E$38&amp;" / "&amp;Anmeldung!$G$38&amp;" / "&amp;Anmeldung!$J$38)&lt;&gt;Anmeldung!$P$24),Anmeldung!$B$38&amp;": "&amp;Anmeldung!$D$38&amp;", "&amp;Anmeldung!$E$38&amp;" / "&amp;Anmeldung!$G$38&amp;" / "&amp;Anmeldung!$J$38,"")</f>
        <v/>
      </c>
      <c r="AY25" t="str">
        <f>IF(AND(31&lt;&gt;17,Anmeldung!$D$38&lt;&gt;"",Anmeldung!$G$38=Anmeldung!$G$24,Anmeldung!$J$38=Anmeldung!$J$24,(Anmeldung!$B$38&amp;": "&amp;Anmeldung!$D$38&amp;", "&amp;Anmeldung!$E$38&amp;" / "&amp;Anmeldung!$G$38&amp;" / "&amp;Anmeldung!$J$38)&lt;&gt;Anmeldung!$O$24),Anmeldung!$B$38&amp;": "&amp;Anmeldung!$D$38&amp;", "&amp;Anmeldung!$E$38&amp;" / "&amp;Anmeldung!$G$38&amp;" / "&amp;Anmeldung!$J$38,"")</f>
        <v/>
      </c>
      <c r="AZ25" t="str">
        <f>IF(AND(31&lt;&gt;17,Anmeldung!$D$38&lt;&gt;"",Anmeldung!$G$38&lt;&gt;Anmeldung!$G$24,(Anmeldung!$B$38&amp;": "&amp;Anmeldung!$D$38&amp;", "&amp;Anmeldung!$E$38&amp;" / "&amp;Anmeldung!$G$38&amp;" / "&amp;Anmeldung!$J$38)&lt;&gt;Anmeldung!$S$24),Anmeldung!$B$38&amp;": "&amp;Anmeldung!$D$38&amp;", "&amp;Anmeldung!$E$38&amp;" / "&amp;Anmeldung!$G$38&amp;" / "&amp;Anmeldung!$J$38,"")</f>
        <v/>
      </c>
      <c r="BA25" t="str">
        <f>IF(AND(31&lt;&gt;17,Anmeldung!$D$38&lt;&gt;"",(Anmeldung!$B$38&amp;": "&amp;Anmeldung!$D$38&amp;", "&amp;Anmeldung!$E$38&amp;" / "&amp;Anmeldung!$G$38&amp;" / "&amp;Anmeldung!$J$38)&lt;&gt;Anmeldung!$R$24),Anmeldung!$B$38&amp;": "&amp;Anmeldung!$D$38&amp;", "&amp;Anmeldung!$E$38&amp;" / "&amp;Anmeldung!$G$38&amp;" / "&amp;Anmeldung!$J$38,"")</f>
        <v/>
      </c>
      <c r="BB25" t="str">
        <f>IF(AND(30&lt;&gt;16,Anmeldung!$D$38&lt;&gt;"",Anmeldung!$U$38="Ja",Anmeldung!$G$38=Anmeldung!$G$24,Anmeldung!$J$38=Anmeldung!$J$24),Anmeldung!$B$38&amp;": "&amp;Anmeldung!$D$38&amp;", "&amp;Anmeldung!$E$38&amp;" / "&amp;Anmeldung!$G$38&amp;" / "&amp;Anmeldung!$J$38,"")</f>
        <v/>
      </c>
      <c r="BE25" t="str">
        <f>IF(AND(31&lt;&gt;18,Anmeldung!$D$38&lt;&gt;"",Anmeldung!$G$38=Anmeldung!$G$25,Anmeldung!$J$38=Anmeldung!$J$25),Anmeldung!$B$38&amp;": "&amp;Anmeldung!$D$38&amp;", "&amp;Anmeldung!$E$38&amp;" / "&amp;Anmeldung!$G$38&amp;" / "&amp;Anmeldung!$J$38,"")</f>
        <v/>
      </c>
      <c r="BF25" t="str">
        <f>IF(AND(31&lt;&gt;18,Anmeldung!$D$38&lt;&gt;"",Anmeldung!$G$38=Anmeldung!$G$25,Anmeldung!$J$38=Anmeldung!$J$25,(Anmeldung!$B$38&amp;": "&amp;Anmeldung!$D$38&amp;", "&amp;Anmeldung!$E$38&amp;" / "&amp;Anmeldung!$G$38&amp;" / "&amp;Anmeldung!$J$38)&lt;&gt;Anmeldung!$P$25),Anmeldung!$B$38&amp;": "&amp;Anmeldung!$D$38&amp;", "&amp;Anmeldung!$E$38&amp;" / "&amp;Anmeldung!$G$38&amp;" / "&amp;Anmeldung!$J$38,"")</f>
        <v/>
      </c>
      <c r="BG25" t="str">
        <f>IF(AND(31&lt;&gt;18,Anmeldung!$D$38&lt;&gt;"",Anmeldung!$G$38=Anmeldung!$G$25,Anmeldung!$J$38=Anmeldung!$J$25,(Anmeldung!$B$38&amp;": "&amp;Anmeldung!$D$38&amp;", "&amp;Anmeldung!$E$38&amp;" / "&amp;Anmeldung!$G$38&amp;" / "&amp;Anmeldung!$J$38)&lt;&gt;Anmeldung!$O$25),Anmeldung!$B$38&amp;": "&amp;Anmeldung!$D$38&amp;", "&amp;Anmeldung!$E$38&amp;" / "&amp;Anmeldung!$G$38&amp;" / "&amp;Anmeldung!$J$38,"")</f>
        <v/>
      </c>
      <c r="BH25" t="str">
        <f>IF(AND(31&lt;&gt;18,Anmeldung!$D$38&lt;&gt;"",Anmeldung!$G$38&lt;&gt;Anmeldung!$G$25,(Anmeldung!$B$38&amp;": "&amp;Anmeldung!$D$38&amp;", "&amp;Anmeldung!$E$38&amp;" / "&amp;Anmeldung!$G$38&amp;" / "&amp;Anmeldung!$J$38)&lt;&gt;Anmeldung!$S$25),Anmeldung!$B$38&amp;": "&amp;Anmeldung!$D$38&amp;", "&amp;Anmeldung!$E$38&amp;" / "&amp;Anmeldung!$G$38&amp;" / "&amp;Anmeldung!$J$38,"")</f>
        <v/>
      </c>
      <c r="BI25" t="str">
        <f>IF(AND(31&lt;&gt;18,Anmeldung!$D$38&lt;&gt;"",(Anmeldung!$B$38&amp;": "&amp;Anmeldung!$D$38&amp;", "&amp;Anmeldung!$E$38&amp;" / "&amp;Anmeldung!$G$38&amp;" / "&amp;Anmeldung!$J$38)&lt;&gt;Anmeldung!$R$25),Anmeldung!$B$38&amp;": "&amp;Anmeldung!$D$38&amp;", "&amp;Anmeldung!$E$38&amp;" / "&amp;Anmeldung!$G$38&amp;" / "&amp;Anmeldung!$J$38,"")</f>
        <v/>
      </c>
      <c r="BJ25" t="str">
        <f>IF(AND(30&lt;&gt;17,Anmeldung!$D$38&lt;&gt;"",Anmeldung!$U$38="Ja",Anmeldung!$G$38=Anmeldung!$G$25,Anmeldung!$J$38=Anmeldung!$J$25),Anmeldung!$B$38&amp;": "&amp;Anmeldung!$D$38&amp;", "&amp;Anmeldung!$E$38&amp;" / "&amp;Anmeldung!$G$38&amp;" / "&amp;Anmeldung!$J$38,"")</f>
        <v/>
      </c>
      <c r="BM25" t="str">
        <f>IF(AND(31&lt;&gt;19,Anmeldung!$D$38&lt;&gt;"",Anmeldung!$G$38=Anmeldung!$G$26,Anmeldung!$J$38=Anmeldung!$J$26),Anmeldung!$B$38&amp;": "&amp;Anmeldung!$D$38&amp;", "&amp;Anmeldung!$E$38&amp;" / "&amp;Anmeldung!$G$38&amp;" / "&amp;Anmeldung!$J$38,"")</f>
        <v/>
      </c>
      <c r="BN25" t="str">
        <f>IF(AND(31&lt;&gt;19,Anmeldung!$D$38&lt;&gt;"",Anmeldung!$G$38=Anmeldung!$G$26,Anmeldung!$J$38=Anmeldung!$J$26,(Anmeldung!$B$38&amp;": "&amp;Anmeldung!$D$38&amp;", "&amp;Anmeldung!$E$38&amp;" / "&amp;Anmeldung!$G$38&amp;" / "&amp;Anmeldung!$J$38)&lt;&gt;Anmeldung!$P$26),Anmeldung!$B$38&amp;": "&amp;Anmeldung!$D$38&amp;", "&amp;Anmeldung!$E$38&amp;" / "&amp;Anmeldung!$G$38&amp;" / "&amp;Anmeldung!$J$38,"")</f>
        <v/>
      </c>
      <c r="BO25" t="str">
        <f>IF(AND(31&lt;&gt;19,Anmeldung!$D$38&lt;&gt;"",Anmeldung!$G$38=Anmeldung!$G$26,Anmeldung!$J$38=Anmeldung!$J$26,(Anmeldung!$B$38&amp;": "&amp;Anmeldung!$D$38&amp;", "&amp;Anmeldung!$E$38&amp;" / "&amp;Anmeldung!$G$38&amp;" / "&amp;Anmeldung!$J$38)&lt;&gt;Anmeldung!$O$26),Anmeldung!$B$38&amp;": "&amp;Anmeldung!$D$38&amp;", "&amp;Anmeldung!$E$38&amp;" / "&amp;Anmeldung!$G$38&amp;" / "&amp;Anmeldung!$J$38,"")</f>
        <v/>
      </c>
      <c r="BP25" t="str">
        <f>IF(AND(31&lt;&gt;19,Anmeldung!$D$38&lt;&gt;"",Anmeldung!$G$38&lt;&gt;Anmeldung!$G$26,(Anmeldung!$B$38&amp;": "&amp;Anmeldung!$D$38&amp;", "&amp;Anmeldung!$E$38&amp;" / "&amp;Anmeldung!$G$38&amp;" / "&amp;Anmeldung!$J$38)&lt;&gt;Anmeldung!$S$26),Anmeldung!$B$38&amp;": "&amp;Anmeldung!$D$38&amp;", "&amp;Anmeldung!$E$38&amp;" / "&amp;Anmeldung!$G$38&amp;" / "&amp;Anmeldung!$J$38,"")</f>
        <v/>
      </c>
      <c r="BQ25" t="str">
        <f>IF(AND(31&lt;&gt;19,Anmeldung!$D$38&lt;&gt;"",(Anmeldung!$B$38&amp;": "&amp;Anmeldung!$D$38&amp;", "&amp;Anmeldung!$E$38&amp;" / "&amp;Anmeldung!$G$38&amp;" / "&amp;Anmeldung!$J$38)&lt;&gt;Anmeldung!$R$26),Anmeldung!$B$38&amp;": "&amp;Anmeldung!$D$38&amp;", "&amp;Anmeldung!$E$38&amp;" / "&amp;Anmeldung!$G$38&amp;" / "&amp;Anmeldung!$J$38,"")</f>
        <v/>
      </c>
      <c r="BR25" t="str">
        <f>IF(AND(30&lt;&gt;18,Anmeldung!$D$38&lt;&gt;"",Anmeldung!$U$38="Ja",Anmeldung!$G$38=Anmeldung!$G$26,Anmeldung!$J$38=Anmeldung!$J$26),Anmeldung!$B$38&amp;": "&amp;Anmeldung!$D$38&amp;", "&amp;Anmeldung!$E$38&amp;" / "&amp;Anmeldung!$G$38&amp;" / "&amp;Anmeldung!$J$38,"")</f>
        <v/>
      </c>
      <c r="BU25" t="str">
        <f>IF(AND(31&lt;&gt;20,Anmeldung!$D$38&lt;&gt;"",Anmeldung!$G$38=Anmeldung!$G$27,Anmeldung!$J$38=Anmeldung!$J$27),Anmeldung!$B$38&amp;": "&amp;Anmeldung!$D$38&amp;", "&amp;Anmeldung!$E$38&amp;" / "&amp;Anmeldung!$G$38&amp;" / "&amp;Anmeldung!$J$38,"")</f>
        <v/>
      </c>
      <c r="BV25" t="str">
        <f>IF(AND(31&lt;&gt;20,Anmeldung!$D$38&lt;&gt;"",Anmeldung!$G$38=Anmeldung!$G$27,Anmeldung!$J$38=Anmeldung!$J$27,(Anmeldung!$B$38&amp;": "&amp;Anmeldung!$D$38&amp;", "&amp;Anmeldung!$E$38&amp;" / "&amp;Anmeldung!$G$38&amp;" / "&amp;Anmeldung!$J$38)&lt;&gt;Anmeldung!$P$27),Anmeldung!$B$38&amp;": "&amp;Anmeldung!$D$38&amp;", "&amp;Anmeldung!$E$38&amp;" / "&amp;Anmeldung!$G$38&amp;" / "&amp;Anmeldung!$J$38,"")</f>
        <v/>
      </c>
      <c r="BW25" t="str">
        <f>IF(AND(31&lt;&gt;20,Anmeldung!$D$38&lt;&gt;"",Anmeldung!$G$38=Anmeldung!$G$27,Anmeldung!$J$38=Anmeldung!$J$27,(Anmeldung!$B$38&amp;": "&amp;Anmeldung!$D$38&amp;", "&amp;Anmeldung!$E$38&amp;" / "&amp;Anmeldung!$G$38&amp;" / "&amp;Anmeldung!$J$38)&lt;&gt;Anmeldung!$O$27),Anmeldung!$B$38&amp;": "&amp;Anmeldung!$D$38&amp;", "&amp;Anmeldung!$E$38&amp;" / "&amp;Anmeldung!$G$38&amp;" / "&amp;Anmeldung!$J$38,"")</f>
        <v/>
      </c>
      <c r="BX25" t="str">
        <f>IF(AND(31&lt;&gt;20,Anmeldung!$D$38&lt;&gt;"",Anmeldung!$G$38&lt;&gt;Anmeldung!$G$27,(Anmeldung!$B$38&amp;": "&amp;Anmeldung!$D$38&amp;", "&amp;Anmeldung!$E$38&amp;" / "&amp;Anmeldung!$G$38&amp;" / "&amp;Anmeldung!$J$38)&lt;&gt;Anmeldung!$S$27),Anmeldung!$B$38&amp;": "&amp;Anmeldung!$D$38&amp;", "&amp;Anmeldung!$E$38&amp;" / "&amp;Anmeldung!$G$38&amp;" / "&amp;Anmeldung!$J$38,"")</f>
        <v/>
      </c>
      <c r="BY25" t="str">
        <f>IF(AND(31&lt;&gt;20,Anmeldung!$D$38&lt;&gt;"",(Anmeldung!$B$38&amp;": "&amp;Anmeldung!$D$38&amp;", "&amp;Anmeldung!$E$38&amp;" / "&amp;Anmeldung!$G$38&amp;" / "&amp;Anmeldung!$J$38)&lt;&gt;Anmeldung!$R$27),Anmeldung!$B$38&amp;": "&amp;Anmeldung!$D$38&amp;", "&amp;Anmeldung!$E$38&amp;" / "&amp;Anmeldung!$G$38&amp;" / "&amp;Anmeldung!$J$38,"")</f>
        <v/>
      </c>
      <c r="BZ25" t="str">
        <f>IF(AND(30&lt;&gt;19,Anmeldung!$D$38&lt;&gt;"",Anmeldung!$U$38="Ja",Anmeldung!$G$38=Anmeldung!$G$27,Anmeldung!$J$38=Anmeldung!$J$27),Anmeldung!$B$38&amp;": "&amp;Anmeldung!$D$38&amp;", "&amp;Anmeldung!$E$38&amp;" / "&amp;Anmeldung!$G$38&amp;" / "&amp;Anmeldung!$J$38,"")</f>
        <v/>
      </c>
      <c r="CC25" t="str">
        <f>IF(AND(31&lt;&gt;21,Anmeldung!$D$38&lt;&gt;"",Anmeldung!$G$38=Anmeldung!$G$28,Anmeldung!$J$38=Anmeldung!$J$28),Anmeldung!$B$38&amp;": "&amp;Anmeldung!$D$38&amp;", "&amp;Anmeldung!$E$38&amp;" / "&amp;Anmeldung!$G$38&amp;" / "&amp;Anmeldung!$J$38,"")</f>
        <v/>
      </c>
      <c r="CD25" t="str">
        <f>IF(AND(31&lt;&gt;21,Anmeldung!$D$38&lt;&gt;"",Anmeldung!$G$38=Anmeldung!$G$28,Anmeldung!$J$38=Anmeldung!$J$28,(Anmeldung!$B$38&amp;": "&amp;Anmeldung!$D$38&amp;", "&amp;Anmeldung!$E$38&amp;" / "&amp;Anmeldung!$G$38&amp;" / "&amp;Anmeldung!$J$38)&lt;&gt;Anmeldung!$P$28),Anmeldung!$B$38&amp;": "&amp;Anmeldung!$D$38&amp;", "&amp;Anmeldung!$E$38&amp;" / "&amp;Anmeldung!$G$38&amp;" / "&amp;Anmeldung!$J$38,"")</f>
        <v/>
      </c>
      <c r="CE25" t="str">
        <f>IF(AND(31&lt;&gt;21,Anmeldung!$D$38&lt;&gt;"",Anmeldung!$G$38=Anmeldung!$G$28,Anmeldung!$J$38=Anmeldung!$J$28,(Anmeldung!$B$38&amp;": "&amp;Anmeldung!$D$38&amp;", "&amp;Anmeldung!$E$38&amp;" / "&amp;Anmeldung!$G$38&amp;" / "&amp;Anmeldung!$J$38)&lt;&gt;Anmeldung!$O$28),Anmeldung!$B$38&amp;": "&amp;Anmeldung!$D$38&amp;", "&amp;Anmeldung!$E$38&amp;" / "&amp;Anmeldung!$G$38&amp;" / "&amp;Anmeldung!$J$38,"")</f>
        <v/>
      </c>
      <c r="CF25" t="str">
        <f>IF(AND(31&lt;&gt;21,Anmeldung!$D$38&lt;&gt;"",Anmeldung!$G$38&lt;&gt;Anmeldung!$G$28,(Anmeldung!$B$38&amp;": "&amp;Anmeldung!$D$38&amp;", "&amp;Anmeldung!$E$38&amp;" / "&amp;Anmeldung!$G$38&amp;" / "&amp;Anmeldung!$J$38)&lt;&gt;Anmeldung!$S$28),Anmeldung!$B$38&amp;": "&amp;Anmeldung!$D$38&amp;", "&amp;Anmeldung!$E$38&amp;" / "&amp;Anmeldung!$G$38&amp;" / "&amp;Anmeldung!$J$38,"")</f>
        <v/>
      </c>
      <c r="CG25" t="str">
        <f>IF(AND(31&lt;&gt;21,Anmeldung!$D$38&lt;&gt;"",(Anmeldung!$B$38&amp;": "&amp;Anmeldung!$D$38&amp;", "&amp;Anmeldung!$E$38&amp;" / "&amp;Anmeldung!$G$38&amp;" / "&amp;Anmeldung!$J$38)&lt;&gt;Anmeldung!$R$28),Anmeldung!$B$38&amp;": "&amp;Anmeldung!$D$38&amp;", "&amp;Anmeldung!$E$38&amp;" / "&amp;Anmeldung!$G$38&amp;" / "&amp;Anmeldung!$J$38,"")</f>
        <v/>
      </c>
      <c r="CH25" t="str">
        <f>IF(AND(30&lt;&gt;20,Anmeldung!$D$38&lt;&gt;"",Anmeldung!$U$38="Ja",Anmeldung!$G$38=Anmeldung!$G$28,Anmeldung!$J$38=Anmeldung!$J$28),Anmeldung!$B$38&amp;": "&amp;Anmeldung!$D$38&amp;", "&amp;Anmeldung!$E$38&amp;" / "&amp;Anmeldung!$G$38&amp;" / "&amp;Anmeldung!$J$38,"")</f>
        <v/>
      </c>
      <c r="CK25" t="str">
        <f>IF(AND(31&lt;&gt;22,Anmeldung!$D$38&lt;&gt;"",Anmeldung!$G$38=Anmeldung!$G$29,Anmeldung!$J$38=Anmeldung!$J$29),Anmeldung!$B$38&amp;": "&amp;Anmeldung!$D$38&amp;", "&amp;Anmeldung!$E$38&amp;" / "&amp;Anmeldung!$G$38&amp;" / "&amp;Anmeldung!$J$38,"")</f>
        <v/>
      </c>
      <c r="CL25" t="str">
        <f>IF(AND(31&lt;&gt;22,Anmeldung!$D$38&lt;&gt;"",Anmeldung!$G$38=Anmeldung!$G$29,Anmeldung!$J$38=Anmeldung!$J$29,(Anmeldung!$B$38&amp;": "&amp;Anmeldung!$D$38&amp;", "&amp;Anmeldung!$E$38&amp;" / "&amp;Anmeldung!$G$38&amp;" / "&amp;Anmeldung!$J$38)&lt;&gt;Anmeldung!$P$29),Anmeldung!$B$38&amp;": "&amp;Anmeldung!$D$38&amp;", "&amp;Anmeldung!$E$38&amp;" / "&amp;Anmeldung!$G$38&amp;" / "&amp;Anmeldung!$J$38,"")</f>
        <v/>
      </c>
      <c r="CM25" t="str">
        <f>IF(AND(31&lt;&gt;22,Anmeldung!$D$38&lt;&gt;"",Anmeldung!$G$38=Anmeldung!$G$29,Anmeldung!$J$38=Anmeldung!$J$29,(Anmeldung!$B$38&amp;": "&amp;Anmeldung!$D$38&amp;", "&amp;Anmeldung!$E$38&amp;" / "&amp;Anmeldung!$G$38&amp;" / "&amp;Anmeldung!$J$38)&lt;&gt;Anmeldung!$O$29),Anmeldung!$B$38&amp;": "&amp;Anmeldung!$D$38&amp;", "&amp;Anmeldung!$E$38&amp;" / "&amp;Anmeldung!$G$38&amp;" / "&amp;Anmeldung!$J$38,"")</f>
        <v/>
      </c>
      <c r="CN25" t="str">
        <f>IF(AND(31&lt;&gt;22,Anmeldung!$D$38&lt;&gt;"",Anmeldung!$G$38&lt;&gt;Anmeldung!$G$29,(Anmeldung!$B$38&amp;": "&amp;Anmeldung!$D$38&amp;", "&amp;Anmeldung!$E$38&amp;" / "&amp;Anmeldung!$G$38&amp;" / "&amp;Anmeldung!$J$38)&lt;&gt;Anmeldung!$S$29),Anmeldung!$B$38&amp;": "&amp;Anmeldung!$D$38&amp;", "&amp;Anmeldung!$E$38&amp;" / "&amp;Anmeldung!$G$38&amp;" / "&amp;Anmeldung!$J$38,"")</f>
        <v/>
      </c>
      <c r="CO25" t="str">
        <f>IF(AND(31&lt;&gt;22,Anmeldung!$D$38&lt;&gt;"",(Anmeldung!$B$38&amp;": "&amp;Anmeldung!$D$38&amp;", "&amp;Anmeldung!$E$38&amp;" / "&amp;Anmeldung!$G$38&amp;" / "&amp;Anmeldung!$J$38)&lt;&gt;Anmeldung!$R$29),Anmeldung!$B$38&amp;": "&amp;Anmeldung!$D$38&amp;", "&amp;Anmeldung!$E$38&amp;" / "&amp;Anmeldung!$G$38&amp;" / "&amp;Anmeldung!$J$38,"")</f>
        <v/>
      </c>
      <c r="CP25" t="str">
        <f>IF(AND(30&lt;&gt;21,Anmeldung!$D$38&lt;&gt;"",Anmeldung!$U$38="Ja",Anmeldung!$G$38=Anmeldung!$G$29,Anmeldung!$J$38=Anmeldung!$J$29),Anmeldung!$B$38&amp;": "&amp;Anmeldung!$D$38&amp;", "&amp;Anmeldung!$E$38&amp;" / "&amp;Anmeldung!$G$38&amp;" / "&amp;Anmeldung!$J$38,"")</f>
        <v/>
      </c>
      <c r="CS25" t="str">
        <f>IF(AND(31&lt;&gt;23,Anmeldung!$D$38&lt;&gt;"",Anmeldung!$G$38=Anmeldung!$G$30,Anmeldung!$J$38=Anmeldung!$J$30),Anmeldung!$B$38&amp;": "&amp;Anmeldung!$D$38&amp;", "&amp;Anmeldung!$E$38&amp;" / "&amp;Anmeldung!$G$38&amp;" / "&amp;Anmeldung!$J$38,"")</f>
        <v/>
      </c>
      <c r="CT25" t="str">
        <f>IF(AND(31&lt;&gt;23,Anmeldung!$D$38&lt;&gt;"",Anmeldung!$G$38=Anmeldung!$G$30,Anmeldung!$J$38=Anmeldung!$J$30,(Anmeldung!$B$38&amp;": "&amp;Anmeldung!$D$38&amp;", "&amp;Anmeldung!$E$38&amp;" / "&amp;Anmeldung!$G$38&amp;" / "&amp;Anmeldung!$J$38)&lt;&gt;Anmeldung!$P$30),Anmeldung!$B$38&amp;": "&amp;Anmeldung!$D$38&amp;", "&amp;Anmeldung!$E$38&amp;" / "&amp;Anmeldung!$G$38&amp;" / "&amp;Anmeldung!$J$38,"")</f>
        <v/>
      </c>
      <c r="CU25" t="str">
        <f>IF(AND(31&lt;&gt;23,Anmeldung!$D$38&lt;&gt;"",Anmeldung!$G$38=Anmeldung!$G$30,Anmeldung!$J$38=Anmeldung!$J$30,(Anmeldung!$B$38&amp;": "&amp;Anmeldung!$D$38&amp;", "&amp;Anmeldung!$E$38&amp;" / "&amp;Anmeldung!$G$38&amp;" / "&amp;Anmeldung!$J$38)&lt;&gt;Anmeldung!$O$30),Anmeldung!$B$38&amp;": "&amp;Anmeldung!$D$38&amp;", "&amp;Anmeldung!$E$38&amp;" / "&amp;Anmeldung!$G$38&amp;" / "&amp;Anmeldung!$J$38,"")</f>
        <v/>
      </c>
      <c r="CV25" t="str">
        <f>IF(AND(31&lt;&gt;23,Anmeldung!$D$38&lt;&gt;"",Anmeldung!$G$38&lt;&gt;Anmeldung!$G$30,(Anmeldung!$B$38&amp;": "&amp;Anmeldung!$D$38&amp;", "&amp;Anmeldung!$E$38&amp;" / "&amp;Anmeldung!$G$38&amp;" / "&amp;Anmeldung!$J$38)&lt;&gt;Anmeldung!$S$30),Anmeldung!$B$38&amp;": "&amp;Anmeldung!$D$38&amp;", "&amp;Anmeldung!$E$38&amp;" / "&amp;Anmeldung!$G$38&amp;" / "&amp;Anmeldung!$J$38,"")</f>
        <v/>
      </c>
      <c r="CW25" t="str">
        <f>IF(AND(31&lt;&gt;23,Anmeldung!$D$38&lt;&gt;"",(Anmeldung!$B$38&amp;": "&amp;Anmeldung!$D$38&amp;", "&amp;Anmeldung!$E$38&amp;" / "&amp;Anmeldung!$G$38&amp;" / "&amp;Anmeldung!$J$38)&lt;&gt;Anmeldung!$R$30),Anmeldung!$B$38&amp;": "&amp;Anmeldung!$D$38&amp;", "&amp;Anmeldung!$E$38&amp;" / "&amp;Anmeldung!$G$38&amp;" / "&amp;Anmeldung!$J$38,"")</f>
        <v/>
      </c>
      <c r="CX25" t="str">
        <f>IF(AND(30&lt;&gt;22,Anmeldung!$D$38&lt;&gt;"",Anmeldung!$U$38="Ja",Anmeldung!$G$38=Anmeldung!$G$30,Anmeldung!$J$38=Anmeldung!$J$30),Anmeldung!$B$38&amp;": "&amp;Anmeldung!$D$38&amp;", "&amp;Anmeldung!$E$38&amp;" / "&amp;Anmeldung!$G$38&amp;" / "&amp;Anmeldung!$J$38,"")</f>
        <v/>
      </c>
      <c r="DA25" t="str">
        <f>IF(AND(31&lt;&gt;24,Anmeldung!$D$38&lt;&gt;"",Anmeldung!$G$38=Anmeldung!$G$31,Anmeldung!$J$38=Anmeldung!$J$31),Anmeldung!$B$38&amp;": "&amp;Anmeldung!$D$38&amp;", "&amp;Anmeldung!$E$38&amp;" / "&amp;Anmeldung!$G$38&amp;" / "&amp;Anmeldung!$J$38,"")</f>
        <v/>
      </c>
      <c r="DB25" t="str">
        <f>IF(AND(31&lt;&gt;24,Anmeldung!$D$38&lt;&gt;"",Anmeldung!$G$38=Anmeldung!$G$31,Anmeldung!$J$38=Anmeldung!$J$31,(Anmeldung!$B$38&amp;": "&amp;Anmeldung!$D$38&amp;", "&amp;Anmeldung!$E$38&amp;" / "&amp;Anmeldung!$G$38&amp;" / "&amp;Anmeldung!$J$38)&lt;&gt;Anmeldung!$P$31),Anmeldung!$B$38&amp;": "&amp;Anmeldung!$D$38&amp;", "&amp;Anmeldung!$E$38&amp;" / "&amp;Anmeldung!$G$38&amp;" / "&amp;Anmeldung!$J$38,"")</f>
        <v/>
      </c>
      <c r="DC25" t="str">
        <f>IF(AND(31&lt;&gt;24,Anmeldung!$D$38&lt;&gt;"",Anmeldung!$G$38=Anmeldung!$G$31,Anmeldung!$J$38=Anmeldung!$J$31,(Anmeldung!$B$38&amp;": "&amp;Anmeldung!$D$38&amp;", "&amp;Anmeldung!$E$38&amp;" / "&amp;Anmeldung!$G$38&amp;" / "&amp;Anmeldung!$J$38)&lt;&gt;Anmeldung!$O$31),Anmeldung!$B$38&amp;": "&amp;Anmeldung!$D$38&amp;", "&amp;Anmeldung!$E$38&amp;" / "&amp;Anmeldung!$G$38&amp;" / "&amp;Anmeldung!$J$38,"")</f>
        <v/>
      </c>
      <c r="DD25" t="str">
        <f>IF(AND(31&lt;&gt;24,Anmeldung!$D$38&lt;&gt;"",Anmeldung!$G$38&lt;&gt;Anmeldung!$G$31,(Anmeldung!$B$38&amp;": "&amp;Anmeldung!$D$38&amp;", "&amp;Anmeldung!$E$38&amp;" / "&amp;Anmeldung!$G$38&amp;" / "&amp;Anmeldung!$J$38)&lt;&gt;Anmeldung!$S$31),Anmeldung!$B$38&amp;": "&amp;Anmeldung!$D$38&amp;", "&amp;Anmeldung!$E$38&amp;" / "&amp;Anmeldung!$G$38&amp;" / "&amp;Anmeldung!$J$38,"")</f>
        <v/>
      </c>
      <c r="DE25" t="str">
        <f>IF(AND(31&lt;&gt;24,Anmeldung!$D$38&lt;&gt;"",(Anmeldung!$B$38&amp;": "&amp;Anmeldung!$D$38&amp;", "&amp;Anmeldung!$E$38&amp;" / "&amp;Anmeldung!$G$38&amp;" / "&amp;Anmeldung!$J$38)&lt;&gt;Anmeldung!$R$31),Anmeldung!$B$38&amp;": "&amp;Anmeldung!$D$38&amp;", "&amp;Anmeldung!$E$38&amp;" / "&amp;Anmeldung!$G$38&amp;" / "&amp;Anmeldung!$J$38,"")</f>
        <v/>
      </c>
      <c r="DF25" t="str">
        <f>IF(AND(30&lt;&gt;23,Anmeldung!$D$38&lt;&gt;"",Anmeldung!$U$38="Ja",Anmeldung!$G$38=Anmeldung!$G$31,Anmeldung!$J$38=Anmeldung!$J$31),Anmeldung!$B$38&amp;": "&amp;Anmeldung!$D$38&amp;", "&amp;Anmeldung!$E$38&amp;" / "&amp;Anmeldung!$G$38&amp;" / "&amp;Anmeldung!$J$38,"")</f>
        <v/>
      </c>
      <c r="DI25" t="str">
        <f>IF(AND(31&lt;&gt;25,Anmeldung!$D$38&lt;&gt;"",Anmeldung!$G$38=Anmeldung!$G$32,Anmeldung!$J$38=Anmeldung!$J$32),Anmeldung!$B$38&amp;": "&amp;Anmeldung!$D$38&amp;", "&amp;Anmeldung!$E$38&amp;" / "&amp;Anmeldung!$G$38&amp;" / "&amp;Anmeldung!$J$38,"")</f>
        <v/>
      </c>
      <c r="DJ25" t="str">
        <f>IF(AND(31&lt;&gt;25,Anmeldung!$D$38&lt;&gt;"",Anmeldung!$G$38=Anmeldung!$G$32,Anmeldung!$J$38=Anmeldung!$J$32,(Anmeldung!$B$38&amp;": "&amp;Anmeldung!$D$38&amp;", "&amp;Anmeldung!$E$38&amp;" / "&amp;Anmeldung!$G$38&amp;" / "&amp;Anmeldung!$J$38)&lt;&gt;Anmeldung!$P$32),Anmeldung!$B$38&amp;": "&amp;Anmeldung!$D$38&amp;", "&amp;Anmeldung!$E$38&amp;" / "&amp;Anmeldung!$G$38&amp;" / "&amp;Anmeldung!$J$38,"")</f>
        <v/>
      </c>
      <c r="DK25" t="str">
        <f>IF(AND(31&lt;&gt;25,Anmeldung!$D$38&lt;&gt;"",Anmeldung!$G$38=Anmeldung!$G$32,Anmeldung!$J$38=Anmeldung!$J$32,(Anmeldung!$B$38&amp;": "&amp;Anmeldung!$D$38&amp;", "&amp;Anmeldung!$E$38&amp;" / "&amp;Anmeldung!$G$38&amp;" / "&amp;Anmeldung!$J$38)&lt;&gt;Anmeldung!$O$32),Anmeldung!$B$38&amp;": "&amp;Anmeldung!$D$38&amp;", "&amp;Anmeldung!$E$38&amp;" / "&amp;Anmeldung!$G$38&amp;" / "&amp;Anmeldung!$J$38,"")</f>
        <v/>
      </c>
      <c r="DL25" t="str">
        <f>IF(AND(31&lt;&gt;25,Anmeldung!$D$38&lt;&gt;"",Anmeldung!$G$38&lt;&gt;Anmeldung!$G$32,(Anmeldung!$B$38&amp;": "&amp;Anmeldung!$D$38&amp;", "&amp;Anmeldung!$E$38&amp;" / "&amp;Anmeldung!$G$38&amp;" / "&amp;Anmeldung!$J$38)&lt;&gt;Anmeldung!$S$32),Anmeldung!$B$38&amp;": "&amp;Anmeldung!$D$38&amp;", "&amp;Anmeldung!$E$38&amp;" / "&amp;Anmeldung!$G$38&amp;" / "&amp;Anmeldung!$J$38,"")</f>
        <v/>
      </c>
      <c r="DM25" t="str">
        <f>IF(AND(31&lt;&gt;25,Anmeldung!$D$38&lt;&gt;"",(Anmeldung!$B$38&amp;": "&amp;Anmeldung!$D$38&amp;", "&amp;Anmeldung!$E$38&amp;" / "&amp;Anmeldung!$G$38&amp;" / "&amp;Anmeldung!$J$38)&lt;&gt;Anmeldung!$R$32),Anmeldung!$B$38&amp;": "&amp;Anmeldung!$D$38&amp;", "&amp;Anmeldung!$E$38&amp;" / "&amp;Anmeldung!$G$38&amp;" / "&amp;Anmeldung!$J$38,"")</f>
        <v/>
      </c>
      <c r="DN25" t="str">
        <f>IF(AND(30&lt;&gt;24,Anmeldung!$D$38&lt;&gt;"",Anmeldung!$U$38="Ja",Anmeldung!$G$38=Anmeldung!$G$32,Anmeldung!$J$38=Anmeldung!$J$32),Anmeldung!$B$38&amp;": "&amp;Anmeldung!$D$38&amp;", "&amp;Anmeldung!$E$38&amp;" / "&amp;Anmeldung!$G$38&amp;" / "&amp;Anmeldung!$J$38,"")</f>
        <v/>
      </c>
      <c r="DQ25" t="str">
        <f>IF(AND(31&lt;&gt;26,Anmeldung!$D$38&lt;&gt;"",Anmeldung!$G$38=Anmeldung!$G$33,Anmeldung!$J$38=Anmeldung!$J$33),Anmeldung!$B$38&amp;": "&amp;Anmeldung!$D$38&amp;", "&amp;Anmeldung!$E$38&amp;" / "&amp;Anmeldung!$G$38&amp;" / "&amp;Anmeldung!$J$38,"")</f>
        <v/>
      </c>
      <c r="DR25" t="str">
        <f>IF(AND(31&lt;&gt;26,Anmeldung!$D$38&lt;&gt;"",Anmeldung!$G$38=Anmeldung!$G$33,Anmeldung!$J$38=Anmeldung!$J$33,(Anmeldung!$B$38&amp;": "&amp;Anmeldung!$D$38&amp;", "&amp;Anmeldung!$E$38&amp;" / "&amp;Anmeldung!$G$38&amp;" / "&amp;Anmeldung!$J$38)&lt;&gt;Anmeldung!$P$33),Anmeldung!$B$38&amp;": "&amp;Anmeldung!$D$38&amp;", "&amp;Anmeldung!$E$38&amp;" / "&amp;Anmeldung!$G$38&amp;" / "&amp;Anmeldung!$J$38,"")</f>
        <v/>
      </c>
      <c r="DS25" t="str">
        <f>IF(AND(31&lt;&gt;26,Anmeldung!$D$38&lt;&gt;"",Anmeldung!$G$38=Anmeldung!$G$33,Anmeldung!$J$38=Anmeldung!$J$33,(Anmeldung!$B$38&amp;": "&amp;Anmeldung!$D$38&amp;", "&amp;Anmeldung!$E$38&amp;" / "&amp;Anmeldung!$G$38&amp;" / "&amp;Anmeldung!$J$38)&lt;&gt;Anmeldung!$O$33),Anmeldung!$B$38&amp;": "&amp;Anmeldung!$D$38&amp;", "&amp;Anmeldung!$E$38&amp;" / "&amp;Anmeldung!$G$38&amp;" / "&amp;Anmeldung!$J$38,"")</f>
        <v/>
      </c>
      <c r="DT25" t="str">
        <f>IF(AND(31&lt;&gt;26,Anmeldung!$D$38&lt;&gt;"",Anmeldung!$G$38&lt;&gt;Anmeldung!$G$33,(Anmeldung!$B$38&amp;": "&amp;Anmeldung!$D$38&amp;", "&amp;Anmeldung!$E$38&amp;" / "&amp;Anmeldung!$G$38&amp;" / "&amp;Anmeldung!$J$38)&lt;&gt;Anmeldung!$S$33),Anmeldung!$B$38&amp;": "&amp;Anmeldung!$D$38&amp;", "&amp;Anmeldung!$E$38&amp;" / "&amp;Anmeldung!$G$38&amp;" / "&amp;Anmeldung!$J$38,"")</f>
        <v/>
      </c>
      <c r="DU25" t="str">
        <f>IF(AND(31&lt;&gt;26,Anmeldung!$D$38&lt;&gt;"",(Anmeldung!$B$38&amp;": "&amp;Anmeldung!$D$38&amp;", "&amp;Anmeldung!$E$38&amp;" / "&amp;Anmeldung!$G$38&amp;" / "&amp;Anmeldung!$J$38)&lt;&gt;Anmeldung!$R$33),Anmeldung!$B$38&amp;": "&amp;Anmeldung!$D$38&amp;", "&amp;Anmeldung!$E$38&amp;" / "&amp;Anmeldung!$G$38&amp;" / "&amp;Anmeldung!$J$38,"")</f>
        <v/>
      </c>
      <c r="DV25" t="str">
        <f>IF(AND(30&lt;&gt;25,Anmeldung!$D$38&lt;&gt;"",Anmeldung!$U$38="Ja",Anmeldung!$G$38=Anmeldung!$G$33,Anmeldung!$J$38=Anmeldung!$J$33),Anmeldung!$B$38&amp;": "&amp;Anmeldung!$D$38&amp;", "&amp;Anmeldung!$E$38&amp;" / "&amp;Anmeldung!$G$38&amp;" / "&amp;Anmeldung!$J$38,"")</f>
        <v/>
      </c>
      <c r="DY25" t="str">
        <f>IF(AND(31&lt;&gt;27,Anmeldung!$D$38&lt;&gt;"",Anmeldung!$G$38=Anmeldung!$G$34,Anmeldung!$J$38=Anmeldung!$J$34),Anmeldung!$B$38&amp;": "&amp;Anmeldung!$D$38&amp;", "&amp;Anmeldung!$E$38&amp;" / "&amp;Anmeldung!$G$38&amp;" / "&amp;Anmeldung!$J$38,"")</f>
        <v/>
      </c>
      <c r="DZ25" t="str">
        <f>IF(AND(31&lt;&gt;27,Anmeldung!$D$38&lt;&gt;"",Anmeldung!$G$38=Anmeldung!$G$34,Anmeldung!$J$38=Anmeldung!$J$34,(Anmeldung!$B$38&amp;": "&amp;Anmeldung!$D$38&amp;", "&amp;Anmeldung!$E$38&amp;" / "&amp;Anmeldung!$G$38&amp;" / "&amp;Anmeldung!$J$38)&lt;&gt;Anmeldung!$P$34),Anmeldung!$B$38&amp;": "&amp;Anmeldung!$D$38&amp;", "&amp;Anmeldung!$E$38&amp;" / "&amp;Anmeldung!$G$38&amp;" / "&amp;Anmeldung!$J$38,"")</f>
        <v/>
      </c>
      <c r="EA25" t="str">
        <f>IF(AND(31&lt;&gt;27,Anmeldung!$D$38&lt;&gt;"",Anmeldung!$G$38=Anmeldung!$G$34,Anmeldung!$J$38=Anmeldung!$J$34,(Anmeldung!$B$38&amp;": "&amp;Anmeldung!$D$38&amp;", "&amp;Anmeldung!$E$38&amp;" / "&amp;Anmeldung!$G$38&amp;" / "&amp;Anmeldung!$J$38)&lt;&gt;Anmeldung!$O$34),Anmeldung!$B$38&amp;": "&amp;Anmeldung!$D$38&amp;", "&amp;Anmeldung!$E$38&amp;" / "&amp;Anmeldung!$G$38&amp;" / "&amp;Anmeldung!$J$38,"")</f>
        <v/>
      </c>
      <c r="EB25" t="str">
        <f>IF(AND(31&lt;&gt;27,Anmeldung!$D$38&lt;&gt;"",Anmeldung!$G$38&lt;&gt;Anmeldung!$G$34,(Anmeldung!$B$38&amp;": "&amp;Anmeldung!$D$38&amp;", "&amp;Anmeldung!$E$38&amp;" / "&amp;Anmeldung!$G$38&amp;" / "&amp;Anmeldung!$J$38)&lt;&gt;Anmeldung!$S$34),Anmeldung!$B$38&amp;": "&amp;Anmeldung!$D$38&amp;", "&amp;Anmeldung!$E$38&amp;" / "&amp;Anmeldung!$G$38&amp;" / "&amp;Anmeldung!$J$38,"")</f>
        <v/>
      </c>
      <c r="EC25" t="str">
        <f>IF(AND(31&lt;&gt;27,Anmeldung!$D$38&lt;&gt;"",(Anmeldung!$B$38&amp;": "&amp;Anmeldung!$D$38&amp;", "&amp;Anmeldung!$E$38&amp;" / "&amp;Anmeldung!$G$38&amp;" / "&amp;Anmeldung!$J$38)&lt;&gt;Anmeldung!$R$34),Anmeldung!$B$38&amp;": "&amp;Anmeldung!$D$38&amp;", "&amp;Anmeldung!$E$38&amp;" / "&amp;Anmeldung!$G$38&amp;" / "&amp;Anmeldung!$J$38,"")</f>
        <v/>
      </c>
      <c r="ED25" t="str">
        <f>IF(AND(30&lt;&gt;26,Anmeldung!$D$38&lt;&gt;"",Anmeldung!$U$38="Ja",Anmeldung!$G$38=Anmeldung!$G$34,Anmeldung!$J$38=Anmeldung!$J$34),Anmeldung!$B$38&amp;": "&amp;Anmeldung!$D$38&amp;", "&amp;Anmeldung!$E$38&amp;" / "&amp;Anmeldung!$G$38&amp;" / "&amp;Anmeldung!$J$38,"")</f>
        <v/>
      </c>
      <c r="EG25" t="str">
        <f>IF(AND(31&lt;&gt;28,Anmeldung!$D$38&lt;&gt;"",Anmeldung!$G$38=Anmeldung!$G$35,Anmeldung!$J$38=Anmeldung!$J$35),Anmeldung!$B$38&amp;": "&amp;Anmeldung!$D$38&amp;", "&amp;Anmeldung!$E$38&amp;" / "&amp;Anmeldung!$G$38&amp;" / "&amp;Anmeldung!$J$38,"")</f>
        <v/>
      </c>
      <c r="EH25" t="str">
        <f>IF(AND(31&lt;&gt;28,Anmeldung!$D$38&lt;&gt;"",Anmeldung!$G$38=Anmeldung!$G$35,Anmeldung!$J$38=Anmeldung!$J$35,(Anmeldung!$B$38&amp;": "&amp;Anmeldung!$D$38&amp;", "&amp;Anmeldung!$E$38&amp;" / "&amp;Anmeldung!$G$38&amp;" / "&amp;Anmeldung!$J$38)&lt;&gt;Anmeldung!$P$35),Anmeldung!$B$38&amp;": "&amp;Anmeldung!$D$38&amp;", "&amp;Anmeldung!$E$38&amp;" / "&amp;Anmeldung!$G$38&amp;" / "&amp;Anmeldung!$J$38,"")</f>
        <v/>
      </c>
      <c r="EI25" t="str">
        <f>IF(AND(31&lt;&gt;28,Anmeldung!$D$38&lt;&gt;"",Anmeldung!$G$38=Anmeldung!$G$35,Anmeldung!$J$38=Anmeldung!$J$35,(Anmeldung!$B$38&amp;": "&amp;Anmeldung!$D$38&amp;", "&amp;Anmeldung!$E$38&amp;" / "&amp;Anmeldung!$G$38&amp;" / "&amp;Anmeldung!$J$38)&lt;&gt;Anmeldung!$O$35),Anmeldung!$B$38&amp;": "&amp;Anmeldung!$D$38&amp;", "&amp;Anmeldung!$E$38&amp;" / "&amp;Anmeldung!$G$38&amp;" / "&amp;Anmeldung!$J$38,"")</f>
        <v/>
      </c>
      <c r="EJ25" t="str">
        <f>IF(AND(31&lt;&gt;28,Anmeldung!$D$38&lt;&gt;"",Anmeldung!$G$38&lt;&gt;Anmeldung!$G$35,(Anmeldung!$B$38&amp;": "&amp;Anmeldung!$D$38&amp;", "&amp;Anmeldung!$E$38&amp;" / "&amp;Anmeldung!$G$38&amp;" / "&amp;Anmeldung!$J$38)&lt;&gt;Anmeldung!$S$35),Anmeldung!$B$38&amp;": "&amp;Anmeldung!$D$38&amp;", "&amp;Anmeldung!$E$38&amp;" / "&amp;Anmeldung!$G$38&amp;" / "&amp;Anmeldung!$J$38,"")</f>
        <v/>
      </c>
      <c r="EK25" t="str">
        <f>IF(AND(31&lt;&gt;28,Anmeldung!$D$38&lt;&gt;"",(Anmeldung!$B$38&amp;": "&amp;Anmeldung!$D$38&amp;", "&amp;Anmeldung!$E$38&amp;" / "&amp;Anmeldung!$G$38&amp;" / "&amp;Anmeldung!$J$38)&lt;&gt;Anmeldung!$R$35),Anmeldung!$B$38&amp;": "&amp;Anmeldung!$D$38&amp;", "&amp;Anmeldung!$E$38&amp;" / "&amp;Anmeldung!$G$38&amp;" / "&amp;Anmeldung!$J$38,"")</f>
        <v/>
      </c>
      <c r="EL25" t="str">
        <f>IF(AND(30&lt;&gt;27,Anmeldung!$D$38&lt;&gt;"",Anmeldung!$U$38="Ja",Anmeldung!$G$38=Anmeldung!$G$35,Anmeldung!$J$38=Anmeldung!$J$35),Anmeldung!$B$38&amp;": "&amp;Anmeldung!$D$38&amp;", "&amp;Anmeldung!$E$38&amp;" / "&amp;Anmeldung!$G$38&amp;" / "&amp;Anmeldung!$J$38,"")</f>
        <v/>
      </c>
      <c r="EO25" t="str">
        <f>IF(AND(31&lt;&gt;29,Anmeldung!$D$38&lt;&gt;"",Anmeldung!$G$38=Anmeldung!$G$36,Anmeldung!$J$38=Anmeldung!$J$36),Anmeldung!$B$38&amp;": "&amp;Anmeldung!$D$38&amp;", "&amp;Anmeldung!$E$38&amp;" / "&amp;Anmeldung!$G$38&amp;" / "&amp;Anmeldung!$J$38,"")</f>
        <v/>
      </c>
      <c r="EP25" t="str">
        <f>IF(AND(31&lt;&gt;29,Anmeldung!$D$38&lt;&gt;"",Anmeldung!$G$38=Anmeldung!$G$36,Anmeldung!$J$38=Anmeldung!$J$36,(Anmeldung!$B$38&amp;": "&amp;Anmeldung!$D$38&amp;", "&amp;Anmeldung!$E$38&amp;" / "&amp;Anmeldung!$G$38&amp;" / "&amp;Anmeldung!$J$38)&lt;&gt;Anmeldung!$P$36),Anmeldung!$B$38&amp;": "&amp;Anmeldung!$D$38&amp;", "&amp;Anmeldung!$E$38&amp;" / "&amp;Anmeldung!$G$38&amp;" / "&amp;Anmeldung!$J$38,"")</f>
        <v/>
      </c>
      <c r="EQ25" t="str">
        <f>IF(AND(31&lt;&gt;29,Anmeldung!$D$38&lt;&gt;"",Anmeldung!$G$38=Anmeldung!$G$36,Anmeldung!$J$38=Anmeldung!$J$36,(Anmeldung!$B$38&amp;": "&amp;Anmeldung!$D$38&amp;", "&amp;Anmeldung!$E$38&amp;" / "&amp;Anmeldung!$G$38&amp;" / "&amp;Anmeldung!$J$38)&lt;&gt;Anmeldung!$O$36),Anmeldung!$B$38&amp;": "&amp;Anmeldung!$D$38&amp;", "&amp;Anmeldung!$E$38&amp;" / "&amp;Anmeldung!$G$38&amp;" / "&amp;Anmeldung!$J$38,"")</f>
        <v/>
      </c>
      <c r="ER25" t="str">
        <f>IF(AND(31&lt;&gt;29,Anmeldung!$D$38&lt;&gt;"",Anmeldung!$G$38&lt;&gt;Anmeldung!$G$36,(Anmeldung!$B$38&amp;": "&amp;Anmeldung!$D$38&amp;", "&amp;Anmeldung!$E$38&amp;" / "&amp;Anmeldung!$G$38&amp;" / "&amp;Anmeldung!$J$38)&lt;&gt;Anmeldung!$S$36),Anmeldung!$B$38&amp;": "&amp;Anmeldung!$D$38&amp;", "&amp;Anmeldung!$E$38&amp;" / "&amp;Anmeldung!$G$38&amp;" / "&amp;Anmeldung!$J$38,"")</f>
        <v/>
      </c>
      <c r="ES25" t="str">
        <f>IF(AND(31&lt;&gt;29,Anmeldung!$D$38&lt;&gt;"",(Anmeldung!$B$38&amp;": "&amp;Anmeldung!$D$38&amp;", "&amp;Anmeldung!$E$38&amp;" / "&amp;Anmeldung!$G$38&amp;" / "&amp;Anmeldung!$J$38)&lt;&gt;Anmeldung!$R$36),Anmeldung!$B$38&amp;": "&amp;Anmeldung!$D$38&amp;", "&amp;Anmeldung!$E$38&amp;" / "&amp;Anmeldung!$G$38&amp;" / "&amp;Anmeldung!$J$38,"")</f>
        <v/>
      </c>
      <c r="ET25" t="str">
        <f>IF(AND(30&lt;&gt;28,Anmeldung!$D$38&lt;&gt;"",Anmeldung!$U$38="Ja",Anmeldung!$G$38=Anmeldung!$G$36,Anmeldung!$J$38=Anmeldung!$J$36),Anmeldung!$B$38&amp;": "&amp;Anmeldung!$D$38&amp;", "&amp;Anmeldung!$E$38&amp;" / "&amp;Anmeldung!$G$38&amp;" / "&amp;Anmeldung!$J$38,"")</f>
        <v/>
      </c>
      <c r="EW25" t="str">
        <f>IF(AND(31&lt;&gt;30,Anmeldung!$D$38&lt;&gt;"",Anmeldung!$G$38=Anmeldung!$G$37,Anmeldung!$J$38=Anmeldung!$J$37),Anmeldung!$B$38&amp;": "&amp;Anmeldung!$D$38&amp;", "&amp;Anmeldung!$E$38&amp;" / "&amp;Anmeldung!$G$38&amp;" / "&amp;Anmeldung!$J$38,"")</f>
        <v/>
      </c>
      <c r="EX25" t="str">
        <f>IF(AND(31&lt;&gt;30,Anmeldung!$D$38&lt;&gt;"",Anmeldung!$G$38=Anmeldung!$G$37,Anmeldung!$J$38=Anmeldung!$J$37,(Anmeldung!$B$38&amp;": "&amp;Anmeldung!$D$38&amp;", "&amp;Anmeldung!$E$38&amp;" / "&amp;Anmeldung!$G$38&amp;" / "&amp;Anmeldung!$J$38)&lt;&gt;Anmeldung!$P$37),Anmeldung!$B$38&amp;": "&amp;Anmeldung!$D$38&amp;", "&amp;Anmeldung!$E$38&amp;" / "&amp;Anmeldung!$G$38&amp;" / "&amp;Anmeldung!$J$38,"")</f>
        <v/>
      </c>
      <c r="EY25" t="str">
        <f>IF(AND(31&lt;&gt;30,Anmeldung!$D$38&lt;&gt;"",Anmeldung!$G$38=Anmeldung!$G$37,Anmeldung!$J$38=Anmeldung!$J$37,(Anmeldung!$B$38&amp;": "&amp;Anmeldung!$D$38&amp;", "&amp;Anmeldung!$E$38&amp;" / "&amp;Anmeldung!$G$38&amp;" / "&amp;Anmeldung!$J$38)&lt;&gt;Anmeldung!$O$37),Anmeldung!$B$38&amp;": "&amp;Anmeldung!$D$38&amp;", "&amp;Anmeldung!$E$38&amp;" / "&amp;Anmeldung!$G$38&amp;" / "&amp;Anmeldung!$J$38,"")</f>
        <v/>
      </c>
      <c r="EZ25" t="str">
        <f>IF(AND(31&lt;&gt;30,Anmeldung!$D$38&lt;&gt;"",Anmeldung!$G$38&lt;&gt;Anmeldung!$G$37,(Anmeldung!$B$38&amp;": "&amp;Anmeldung!$D$38&amp;", "&amp;Anmeldung!$E$38&amp;" / "&amp;Anmeldung!$G$38&amp;" / "&amp;Anmeldung!$J$38)&lt;&gt;Anmeldung!$S$37),Anmeldung!$B$38&amp;": "&amp;Anmeldung!$D$38&amp;", "&amp;Anmeldung!$E$38&amp;" / "&amp;Anmeldung!$G$38&amp;" / "&amp;Anmeldung!$J$38,"")</f>
        <v/>
      </c>
      <c r="FA25" t="str">
        <f>IF(AND(31&lt;&gt;30,Anmeldung!$D$38&lt;&gt;"",(Anmeldung!$B$38&amp;": "&amp;Anmeldung!$D$38&amp;", "&amp;Anmeldung!$E$38&amp;" / "&amp;Anmeldung!$G$38&amp;" / "&amp;Anmeldung!$J$38)&lt;&gt;Anmeldung!$R$37),Anmeldung!$B$38&amp;": "&amp;Anmeldung!$D$38&amp;", "&amp;Anmeldung!$E$38&amp;" / "&amp;Anmeldung!$G$38&amp;" / "&amp;Anmeldung!$J$38,"")</f>
        <v/>
      </c>
      <c r="FB25" t="str">
        <f>IF(AND(30&lt;&gt;29,Anmeldung!$D$38&lt;&gt;"",Anmeldung!$U$38="Ja",Anmeldung!$G$38=Anmeldung!$G$37,Anmeldung!$J$38=Anmeldung!$J$37),Anmeldung!$B$38&amp;": "&amp;Anmeldung!$D$38&amp;", "&amp;Anmeldung!$E$38&amp;" / "&amp;Anmeldung!$G$38&amp;" / "&amp;Anmeldung!$J$38,"")</f>
        <v/>
      </c>
      <c r="FE25" t="str">
        <f>IF(AND(31&lt;&gt;31,Anmeldung!$D$38&lt;&gt;"",Anmeldung!$G$38=Anmeldung!$G$38,Anmeldung!$J$38=Anmeldung!$J$38),Anmeldung!$B$38&amp;": "&amp;Anmeldung!$D$38&amp;", "&amp;Anmeldung!$E$38&amp;" / "&amp;Anmeldung!$G$38&amp;" / "&amp;Anmeldung!$J$38,"")</f>
        <v/>
      </c>
      <c r="FF25" t="str">
        <f>IF(AND(31&lt;&gt;31,Anmeldung!$D$38&lt;&gt;"",Anmeldung!$G$38=Anmeldung!$G$38,Anmeldung!$J$38=Anmeldung!$J$38,(Anmeldung!$B$38&amp;": "&amp;Anmeldung!$D$38&amp;", "&amp;Anmeldung!$E$38&amp;" / "&amp;Anmeldung!$G$38&amp;" / "&amp;Anmeldung!$J$38)&lt;&gt;Anmeldung!$P$38),Anmeldung!$B$38&amp;": "&amp;Anmeldung!$D$38&amp;", "&amp;Anmeldung!$E$38&amp;" / "&amp;Anmeldung!$G$38&amp;" / "&amp;Anmeldung!$J$38,"")</f>
        <v/>
      </c>
      <c r="FG25" t="str">
        <f>IF(AND(31&lt;&gt;31,Anmeldung!$D$38&lt;&gt;"",Anmeldung!$G$38=Anmeldung!$G$38,Anmeldung!$J$38=Anmeldung!$J$38,(Anmeldung!$B$38&amp;": "&amp;Anmeldung!$D$38&amp;", "&amp;Anmeldung!$E$38&amp;" / "&amp;Anmeldung!$G$38&amp;" / "&amp;Anmeldung!$J$38)&lt;&gt;Anmeldung!$O$38),Anmeldung!$B$38&amp;": "&amp;Anmeldung!$D$38&amp;", "&amp;Anmeldung!$E$38&amp;" / "&amp;Anmeldung!$G$38&amp;" / "&amp;Anmeldung!$J$38,"")</f>
        <v/>
      </c>
      <c r="FH25" t="str">
        <f>IF(AND(31&lt;&gt;31,Anmeldung!$D$38&lt;&gt;"",Anmeldung!$G$38&lt;&gt;Anmeldung!$G$38,(Anmeldung!$B$38&amp;": "&amp;Anmeldung!$D$38&amp;", "&amp;Anmeldung!$E$38&amp;" / "&amp;Anmeldung!$G$38&amp;" / "&amp;Anmeldung!$J$38)&lt;&gt;Anmeldung!$S$38),Anmeldung!$B$38&amp;": "&amp;Anmeldung!$D$38&amp;", "&amp;Anmeldung!$E$38&amp;" / "&amp;Anmeldung!$G$38&amp;" / "&amp;Anmeldung!$J$38,"")</f>
        <v/>
      </c>
      <c r="FI25" t="str">
        <f>IF(AND(31&lt;&gt;31,Anmeldung!$D$38&lt;&gt;"",(Anmeldung!$B$38&amp;": "&amp;Anmeldung!$D$38&amp;", "&amp;Anmeldung!$E$38&amp;" / "&amp;Anmeldung!$G$38&amp;" / "&amp;Anmeldung!$J$38)&lt;&gt;Anmeldung!$R$38),Anmeldung!$B$38&amp;": "&amp;Anmeldung!$D$38&amp;", "&amp;Anmeldung!$E$38&amp;" / "&amp;Anmeldung!$G$38&amp;" / "&amp;Anmeldung!$J$38,"")</f>
        <v/>
      </c>
      <c r="FJ25" t="str">
        <f>IF(AND(30&lt;&gt;30,Anmeldung!$D$38&lt;&gt;"",Anmeldung!$U$38="Ja",Anmeldung!$G$38=Anmeldung!$G$38,Anmeldung!$J$38=Anmeldung!$J$38),Anmeldung!$B$38&amp;": "&amp;Anmeldung!$D$38&amp;", "&amp;Anmeldung!$E$38&amp;" / "&amp;Anmeldung!$G$38&amp;" / "&amp;Anmeldung!$J$38,"")</f>
        <v/>
      </c>
      <c r="FM25" t="str">
        <f>IF(AND(31&lt;&gt;32,Anmeldung!$D$38&lt;&gt;"",Anmeldung!$G$38=Anmeldung!$G$39,Anmeldung!$J$38=Anmeldung!$J$39),Anmeldung!$B$38&amp;": "&amp;Anmeldung!$D$38&amp;", "&amp;Anmeldung!$E$38&amp;" / "&amp;Anmeldung!$G$38&amp;" / "&amp;Anmeldung!$J$38,"")</f>
        <v/>
      </c>
      <c r="FN25" t="str">
        <f>IF(AND(31&lt;&gt;32,Anmeldung!$D$38&lt;&gt;"",Anmeldung!$G$38=Anmeldung!$G$39,Anmeldung!$J$38=Anmeldung!$J$39,(Anmeldung!$B$38&amp;": "&amp;Anmeldung!$D$38&amp;", "&amp;Anmeldung!$E$38&amp;" / "&amp;Anmeldung!$G$38&amp;" / "&amp;Anmeldung!$J$38)&lt;&gt;Anmeldung!$P$39),Anmeldung!$B$38&amp;": "&amp;Anmeldung!$D$38&amp;", "&amp;Anmeldung!$E$38&amp;" / "&amp;Anmeldung!$G$38&amp;" / "&amp;Anmeldung!$J$38,"")</f>
        <v/>
      </c>
      <c r="FO25" t="str">
        <f>IF(AND(31&lt;&gt;32,Anmeldung!$D$38&lt;&gt;"",Anmeldung!$G$38=Anmeldung!$G$39,Anmeldung!$J$38=Anmeldung!$J$39,(Anmeldung!$B$38&amp;": "&amp;Anmeldung!$D$38&amp;", "&amp;Anmeldung!$E$38&amp;" / "&amp;Anmeldung!$G$38&amp;" / "&amp;Anmeldung!$J$38)&lt;&gt;Anmeldung!$O$39),Anmeldung!$B$38&amp;": "&amp;Anmeldung!$D$38&amp;", "&amp;Anmeldung!$E$38&amp;" / "&amp;Anmeldung!$G$38&amp;" / "&amp;Anmeldung!$J$38,"")</f>
        <v/>
      </c>
      <c r="FP25" t="str">
        <f>IF(AND(31&lt;&gt;32,Anmeldung!$D$38&lt;&gt;"",Anmeldung!$G$38&lt;&gt;Anmeldung!$G$39,(Anmeldung!$B$38&amp;": "&amp;Anmeldung!$D$38&amp;", "&amp;Anmeldung!$E$38&amp;" / "&amp;Anmeldung!$G$38&amp;" / "&amp;Anmeldung!$J$38)&lt;&gt;Anmeldung!$S$39),Anmeldung!$B$38&amp;": "&amp;Anmeldung!$D$38&amp;", "&amp;Anmeldung!$E$38&amp;" / "&amp;Anmeldung!$G$38&amp;" / "&amp;Anmeldung!$J$38,"")</f>
        <v/>
      </c>
      <c r="FQ25" t="str">
        <f>IF(AND(31&lt;&gt;32,Anmeldung!$D$38&lt;&gt;"",(Anmeldung!$B$38&amp;": "&amp;Anmeldung!$D$38&amp;", "&amp;Anmeldung!$E$38&amp;" / "&amp;Anmeldung!$G$38&amp;" / "&amp;Anmeldung!$J$38)&lt;&gt;Anmeldung!$R$39),Anmeldung!$B$38&amp;": "&amp;Anmeldung!$D$38&amp;", "&amp;Anmeldung!$E$38&amp;" / "&amp;Anmeldung!$G$38&amp;" / "&amp;Anmeldung!$J$38,"")</f>
        <v/>
      </c>
      <c r="FR25" t="str">
        <f>IF(AND(30&lt;&gt;31,Anmeldung!$D$38&lt;&gt;"",Anmeldung!$U$38="Ja",Anmeldung!$G$38=Anmeldung!$G$39,Anmeldung!$J$38=Anmeldung!$J$39),Anmeldung!$B$38&amp;": "&amp;Anmeldung!$D$38&amp;", "&amp;Anmeldung!$E$38&amp;" / "&amp;Anmeldung!$G$38&amp;" / "&amp;Anmeldung!$J$38,"")</f>
        <v/>
      </c>
      <c r="FU25" t="str">
        <f>IF(AND(31&lt;&gt;33,Anmeldung!$D$38&lt;&gt;"",Anmeldung!$G$38=Anmeldung!$G$40,Anmeldung!$J$38=Anmeldung!$J$40),Anmeldung!$B$38&amp;": "&amp;Anmeldung!$D$38&amp;", "&amp;Anmeldung!$E$38&amp;" / "&amp;Anmeldung!$G$38&amp;" / "&amp;Anmeldung!$J$38,"")</f>
        <v/>
      </c>
      <c r="FV25" t="str">
        <f>IF(AND(31&lt;&gt;33,Anmeldung!$D$38&lt;&gt;"",Anmeldung!$G$38=Anmeldung!$G$40,Anmeldung!$J$38=Anmeldung!$J$40,(Anmeldung!$B$38&amp;": "&amp;Anmeldung!$D$38&amp;", "&amp;Anmeldung!$E$38&amp;" / "&amp;Anmeldung!$G$38&amp;" / "&amp;Anmeldung!$J$38)&lt;&gt;Anmeldung!$P$40),Anmeldung!$B$38&amp;": "&amp;Anmeldung!$D$38&amp;", "&amp;Anmeldung!$E$38&amp;" / "&amp;Anmeldung!$G$38&amp;" / "&amp;Anmeldung!$J$38,"")</f>
        <v/>
      </c>
      <c r="FW25" t="str">
        <f>IF(AND(31&lt;&gt;33,Anmeldung!$D$38&lt;&gt;"",Anmeldung!$G$38=Anmeldung!$G$40,Anmeldung!$J$38=Anmeldung!$J$40,(Anmeldung!$B$38&amp;": "&amp;Anmeldung!$D$38&amp;", "&amp;Anmeldung!$E$38&amp;" / "&amp;Anmeldung!$G$38&amp;" / "&amp;Anmeldung!$J$38)&lt;&gt;Anmeldung!$O$40),Anmeldung!$B$38&amp;": "&amp;Anmeldung!$D$38&amp;", "&amp;Anmeldung!$E$38&amp;" / "&amp;Anmeldung!$G$38&amp;" / "&amp;Anmeldung!$J$38,"")</f>
        <v/>
      </c>
      <c r="FX25" t="str">
        <f>IF(AND(31&lt;&gt;33,Anmeldung!$D$38&lt;&gt;"",Anmeldung!$G$38&lt;&gt;Anmeldung!$G$40,(Anmeldung!$B$38&amp;": "&amp;Anmeldung!$D$38&amp;", "&amp;Anmeldung!$E$38&amp;" / "&amp;Anmeldung!$G$38&amp;" / "&amp;Anmeldung!$J$38)&lt;&gt;Anmeldung!$S$40),Anmeldung!$B$38&amp;": "&amp;Anmeldung!$D$38&amp;", "&amp;Anmeldung!$E$38&amp;" / "&amp;Anmeldung!$G$38&amp;" / "&amp;Anmeldung!$J$38,"")</f>
        <v/>
      </c>
      <c r="FY25" t="str">
        <f>IF(AND(31&lt;&gt;33,Anmeldung!$D$38&lt;&gt;"",(Anmeldung!$B$38&amp;": "&amp;Anmeldung!$D$38&amp;", "&amp;Anmeldung!$E$38&amp;" / "&amp;Anmeldung!$G$38&amp;" / "&amp;Anmeldung!$J$38)&lt;&gt;Anmeldung!$R$40),Anmeldung!$B$38&amp;": "&amp;Anmeldung!$D$38&amp;", "&amp;Anmeldung!$E$38&amp;" / "&amp;Anmeldung!$G$38&amp;" / "&amp;Anmeldung!$J$38,"")</f>
        <v/>
      </c>
      <c r="FZ25" t="str">
        <f>IF(AND(30&lt;&gt;32,Anmeldung!$D$38&lt;&gt;"",Anmeldung!$U$38="Ja",Anmeldung!$G$38=Anmeldung!$G$40,Anmeldung!$J$38=Anmeldung!$J$40),Anmeldung!$B$38&amp;": "&amp;Anmeldung!$D$38&amp;", "&amp;Anmeldung!$E$38&amp;" / "&amp;Anmeldung!$G$38&amp;" / "&amp;Anmeldung!$J$38,"")</f>
        <v/>
      </c>
      <c r="GC25" t="str">
        <f>IF(AND(31&lt;&gt;34,Anmeldung!$D$38&lt;&gt;"",Anmeldung!$G$38=Anmeldung!$G$41,Anmeldung!$J$38=Anmeldung!$J$41),Anmeldung!$B$38&amp;": "&amp;Anmeldung!$D$38&amp;", "&amp;Anmeldung!$E$38&amp;" / "&amp;Anmeldung!$G$38&amp;" / "&amp;Anmeldung!$J$38,"")</f>
        <v/>
      </c>
      <c r="GD25" t="str">
        <f>IF(AND(31&lt;&gt;34,Anmeldung!$D$38&lt;&gt;"",Anmeldung!$G$38=Anmeldung!$G$41,Anmeldung!$J$38=Anmeldung!$J$41,(Anmeldung!$B$38&amp;": "&amp;Anmeldung!$D$38&amp;", "&amp;Anmeldung!$E$38&amp;" / "&amp;Anmeldung!$G$38&amp;" / "&amp;Anmeldung!$J$38)&lt;&gt;Anmeldung!$P$41),Anmeldung!$B$38&amp;": "&amp;Anmeldung!$D$38&amp;", "&amp;Anmeldung!$E$38&amp;" / "&amp;Anmeldung!$G$38&amp;" / "&amp;Anmeldung!$J$38,"")</f>
        <v/>
      </c>
      <c r="GE25" t="str">
        <f>IF(AND(31&lt;&gt;34,Anmeldung!$D$38&lt;&gt;"",Anmeldung!$G$38=Anmeldung!$G$41,Anmeldung!$J$38=Anmeldung!$J$41,(Anmeldung!$B$38&amp;": "&amp;Anmeldung!$D$38&amp;", "&amp;Anmeldung!$E$38&amp;" / "&amp;Anmeldung!$G$38&amp;" / "&amp;Anmeldung!$J$38)&lt;&gt;Anmeldung!$O$41),Anmeldung!$B$38&amp;": "&amp;Anmeldung!$D$38&amp;", "&amp;Anmeldung!$E$38&amp;" / "&amp;Anmeldung!$G$38&amp;" / "&amp;Anmeldung!$J$38,"")</f>
        <v/>
      </c>
      <c r="GF25" t="str">
        <f>IF(AND(31&lt;&gt;34,Anmeldung!$D$38&lt;&gt;"",Anmeldung!$G$38&lt;&gt;Anmeldung!$G$41,(Anmeldung!$B$38&amp;": "&amp;Anmeldung!$D$38&amp;", "&amp;Anmeldung!$E$38&amp;" / "&amp;Anmeldung!$G$38&amp;" / "&amp;Anmeldung!$J$38)&lt;&gt;Anmeldung!$S$41),Anmeldung!$B$38&amp;": "&amp;Anmeldung!$D$38&amp;", "&amp;Anmeldung!$E$38&amp;" / "&amp;Anmeldung!$G$38&amp;" / "&amp;Anmeldung!$J$38,"")</f>
        <v/>
      </c>
      <c r="GG25" t="str">
        <f>IF(AND(31&lt;&gt;34,Anmeldung!$D$38&lt;&gt;"",(Anmeldung!$B$38&amp;": "&amp;Anmeldung!$D$38&amp;", "&amp;Anmeldung!$E$38&amp;" / "&amp;Anmeldung!$G$38&amp;" / "&amp;Anmeldung!$J$38)&lt;&gt;Anmeldung!$R$41),Anmeldung!$B$38&amp;": "&amp;Anmeldung!$D$38&amp;", "&amp;Anmeldung!$E$38&amp;" / "&amp;Anmeldung!$G$38&amp;" / "&amp;Anmeldung!$J$38,"")</f>
        <v/>
      </c>
      <c r="GH25" t="str">
        <f>IF(AND(30&lt;&gt;33,Anmeldung!$D$38&lt;&gt;"",Anmeldung!$U$38="Ja",Anmeldung!$G$38=Anmeldung!$G$41,Anmeldung!$J$38=Anmeldung!$J$41),Anmeldung!$B$38&amp;": "&amp;Anmeldung!$D$38&amp;", "&amp;Anmeldung!$E$38&amp;" / "&amp;Anmeldung!$G$38&amp;" / "&amp;Anmeldung!$J$38,"")</f>
        <v/>
      </c>
      <c r="GK25" t="str">
        <f>IF(AND(31&lt;&gt;35,Anmeldung!$D$38&lt;&gt;"",Anmeldung!$G$38=Anmeldung!$G$42,Anmeldung!$J$38=Anmeldung!$J$42),Anmeldung!$B$38&amp;": "&amp;Anmeldung!$D$38&amp;", "&amp;Anmeldung!$E$38&amp;" / "&amp;Anmeldung!$G$38&amp;" / "&amp;Anmeldung!$J$38,"")</f>
        <v/>
      </c>
      <c r="GL25" t="str">
        <f>IF(AND(31&lt;&gt;35,Anmeldung!$D$38&lt;&gt;"",Anmeldung!$G$38=Anmeldung!$G$42,Anmeldung!$J$38=Anmeldung!$J$42,(Anmeldung!$B$38&amp;": "&amp;Anmeldung!$D$38&amp;", "&amp;Anmeldung!$E$38&amp;" / "&amp;Anmeldung!$G$38&amp;" / "&amp;Anmeldung!$J$38)&lt;&gt;Anmeldung!$P$42),Anmeldung!$B$38&amp;": "&amp;Anmeldung!$D$38&amp;", "&amp;Anmeldung!$E$38&amp;" / "&amp;Anmeldung!$G$38&amp;" / "&amp;Anmeldung!$J$38,"")</f>
        <v/>
      </c>
      <c r="GM25" t="str">
        <f>IF(AND(31&lt;&gt;35,Anmeldung!$D$38&lt;&gt;"",Anmeldung!$G$38=Anmeldung!$G$42,Anmeldung!$J$38=Anmeldung!$J$42,(Anmeldung!$B$38&amp;": "&amp;Anmeldung!$D$38&amp;", "&amp;Anmeldung!$E$38&amp;" / "&amp;Anmeldung!$G$38&amp;" / "&amp;Anmeldung!$J$38)&lt;&gt;Anmeldung!$O$42),Anmeldung!$B$38&amp;": "&amp;Anmeldung!$D$38&amp;", "&amp;Anmeldung!$E$38&amp;" / "&amp;Anmeldung!$G$38&amp;" / "&amp;Anmeldung!$J$38,"")</f>
        <v/>
      </c>
      <c r="GN25" t="str">
        <f>IF(AND(31&lt;&gt;35,Anmeldung!$D$38&lt;&gt;"",Anmeldung!$G$38&lt;&gt;Anmeldung!$G$42,(Anmeldung!$B$38&amp;": "&amp;Anmeldung!$D$38&amp;", "&amp;Anmeldung!$E$38&amp;" / "&amp;Anmeldung!$G$38&amp;" / "&amp;Anmeldung!$J$38)&lt;&gt;Anmeldung!$S$42),Anmeldung!$B$38&amp;": "&amp;Anmeldung!$D$38&amp;", "&amp;Anmeldung!$E$38&amp;" / "&amp;Anmeldung!$G$38&amp;" / "&amp;Anmeldung!$J$38,"")</f>
        <v/>
      </c>
      <c r="GO25" t="str">
        <f>IF(AND(31&lt;&gt;35,Anmeldung!$D$38&lt;&gt;"",(Anmeldung!$B$38&amp;": "&amp;Anmeldung!$D$38&amp;", "&amp;Anmeldung!$E$38&amp;" / "&amp;Anmeldung!$G$38&amp;" / "&amp;Anmeldung!$J$38)&lt;&gt;Anmeldung!$R$42),Anmeldung!$B$38&amp;": "&amp;Anmeldung!$D$38&amp;", "&amp;Anmeldung!$E$38&amp;" / "&amp;Anmeldung!$G$38&amp;" / "&amp;Anmeldung!$J$38,"")</f>
        <v/>
      </c>
      <c r="GP25" t="str">
        <f>IF(AND(30&lt;&gt;34,Anmeldung!$D$38&lt;&gt;"",Anmeldung!$U$38="Ja",Anmeldung!$G$38=Anmeldung!$G$42,Anmeldung!$J$38=Anmeldung!$J$42),Anmeldung!$B$38&amp;": "&amp;Anmeldung!$D$38&amp;", "&amp;Anmeldung!$E$38&amp;" / "&amp;Anmeldung!$G$38&amp;" / "&amp;Anmeldung!$J$38,"")</f>
        <v/>
      </c>
      <c r="GS25" t="str">
        <f>IF(AND(31&lt;&gt;36,Anmeldung!$D$38&lt;&gt;"",Anmeldung!$G$38=Anmeldung!$G$43,Anmeldung!$J$38=Anmeldung!$J$43),Anmeldung!$B$38&amp;": "&amp;Anmeldung!$D$38&amp;", "&amp;Anmeldung!$E$38&amp;" / "&amp;Anmeldung!$G$38&amp;" / "&amp;Anmeldung!$J$38,"")</f>
        <v/>
      </c>
      <c r="GT25" t="str">
        <f>IF(AND(31&lt;&gt;36,Anmeldung!$D$38&lt;&gt;"",Anmeldung!$G$38=Anmeldung!$G$43,Anmeldung!$J$38=Anmeldung!$J$43,(Anmeldung!$B$38&amp;": "&amp;Anmeldung!$D$38&amp;", "&amp;Anmeldung!$E$38&amp;" / "&amp;Anmeldung!$G$38&amp;" / "&amp;Anmeldung!$J$38)&lt;&gt;Anmeldung!$P$43),Anmeldung!$B$38&amp;": "&amp;Anmeldung!$D$38&amp;", "&amp;Anmeldung!$E$38&amp;" / "&amp;Anmeldung!$G$38&amp;" / "&amp;Anmeldung!$J$38,"")</f>
        <v/>
      </c>
      <c r="GU25" t="str">
        <f>IF(AND(31&lt;&gt;36,Anmeldung!$D$38&lt;&gt;"",Anmeldung!$G$38=Anmeldung!$G$43,Anmeldung!$J$38=Anmeldung!$J$43,(Anmeldung!$B$38&amp;": "&amp;Anmeldung!$D$38&amp;", "&amp;Anmeldung!$E$38&amp;" / "&amp;Anmeldung!$G$38&amp;" / "&amp;Anmeldung!$J$38)&lt;&gt;Anmeldung!$O$43),Anmeldung!$B$38&amp;": "&amp;Anmeldung!$D$38&amp;", "&amp;Anmeldung!$E$38&amp;" / "&amp;Anmeldung!$G$38&amp;" / "&amp;Anmeldung!$J$38,"")</f>
        <v/>
      </c>
      <c r="GV25" t="str">
        <f>IF(AND(31&lt;&gt;36,Anmeldung!$D$38&lt;&gt;"",Anmeldung!$G$38&lt;&gt;Anmeldung!$G$43,(Anmeldung!$B$38&amp;": "&amp;Anmeldung!$D$38&amp;", "&amp;Anmeldung!$E$38&amp;" / "&amp;Anmeldung!$G$38&amp;" / "&amp;Anmeldung!$J$38)&lt;&gt;Anmeldung!$S$43),Anmeldung!$B$38&amp;": "&amp;Anmeldung!$D$38&amp;", "&amp;Anmeldung!$E$38&amp;" / "&amp;Anmeldung!$G$38&amp;" / "&amp;Anmeldung!$J$38,"")</f>
        <v/>
      </c>
      <c r="GW25" t="str">
        <f>IF(AND(31&lt;&gt;36,Anmeldung!$D$38&lt;&gt;"",(Anmeldung!$B$38&amp;": "&amp;Anmeldung!$D$38&amp;", "&amp;Anmeldung!$E$38&amp;" / "&amp;Anmeldung!$G$38&amp;" / "&amp;Anmeldung!$J$38)&lt;&gt;Anmeldung!$R$43),Anmeldung!$B$38&amp;": "&amp;Anmeldung!$D$38&amp;", "&amp;Anmeldung!$E$38&amp;" / "&amp;Anmeldung!$G$38&amp;" / "&amp;Anmeldung!$J$38,"")</f>
        <v/>
      </c>
      <c r="GX25" t="str">
        <f>IF(AND(30&lt;&gt;35,Anmeldung!$D$38&lt;&gt;"",Anmeldung!$U$38="Ja",Anmeldung!$G$38=Anmeldung!$G$43,Anmeldung!$J$38=Anmeldung!$J$43),Anmeldung!$B$38&amp;": "&amp;Anmeldung!$D$38&amp;", "&amp;Anmeldung!$E$38&amp;" / "&amp;Anmeldung!$G$38&amp;" / "&amp;Anmeldung!$J$38,"")</f>
        <v/>
      </c>
      <c r="HA25" t="str">
        <f>IF(AND(31&lt;&gt;37,Anmeldung!$D$38&lt;&gt;"",Anmeldung!$G$38=Anmeldung!$G$44,Anmeldung!$J$38=Anmeldung!$J$44),Anmeldung!$B$38&amp;": "&amp;Anmeldung!$D$38&amp;", "&amp;Anmeldung!$E$38&amp;" / "&amp;Anmeldung!$G$38&amp;" / "&amp;Anmeldung!$J$38,"")</f>
        <v/>
      </c>
      <c r="HB25" t="str">
        <f>IF(AND(31&lt;&gt;37,Anmeldung!$D$38&lt;&gt;"",Anmeldung!$G$38=Anmeldung!$G$44,Anmeldung!$J$38=Anmeldung!$J$44,(Anmeldung!$B$38&amp;": "&amp;Anmeldung!$D$38&amp;", "&amp;Anmeldung!$E$38&amp;" / "&amp;Anmeldung!$G$38&amp;" / "&amp;Anmeldung!$J$38)&lt;&gt;Anmeldung!$P$44),Anmeldung!$B$38&amp;": "&amp;Anmeldung!$D$38&amp;", "&amp;Anmeldung!$E$38&amp;" / "&amp;Anmeldung!$G$38&amp;" / "&amp;Anmeldung!$J$38,"")</f>
        <v/>
      </c>
      <c r="HC25" t="str">
        <f>IF(AND(31&lt;&gt;37,Anmeldung!$D$38&lt;&gt;"",Anmeldung!$G$38=Anmeldung!$G$44,Anmeldung!$J$38=Anmeldung!$J$44,(Anmeldung!$B$38&amp;": "&amp;Anmeldung!$D$38&amp;", "&amp;Anmeldung!$E$38&amp;" / "&amp;Anmeldung!$G$38&amp;" / "&amp;Anmeldung!$J$38)&lt;&gt;Anmeldung!$O$44),Anmeldung!$B$38&amp;": "&amp;Anmeldung!$D$38&amp;", "&amp;Anmeldung!$E$38&amp;" / "&amp;Anmeldung!$G$38&amp;" / "&amp;Anmeldung!$J$38,"")</f>
        <v/>
      </c>
      <c r="HD25" t="str">
        <f>IF(AND(31&lt;&gt;37,Anmeldung!$D$38&lt;&gt;"",Anmeldung!$G$38&lt;&gt;Anmeldung!$G$44,(Anmeldung!$B$38&amp;": "&amp;Anmeldung!$D$38&amp;", "&amp;Anmeldung!$E$38&amp;" / "&amp;Anmeldung!$G$38&amp;" / "&amp;Anmeldung!$J$38)&lt;&gt;Anmeldung!$S$44),Anmeldung!$B$38&amp;": "&amp;Anmeldung!$D$38&amp;", "&amp;Anmeldung!$E$38&amp;" / "&amp;Anmeldung!$G$38&amp;" / "&amp;Anmeldung!$J$38,"")</f>
        <v/>
      </c>
      <c r="HE25" t="str">
        <f>IF(AND(31&lt;&gt;37,Anmeldung!$D$38&lt;&gt;"",(Anmeldung!$B$38&amp;": "&amp;Anmeldung!$D$38&amp;", "&amp;Anmeldung!$E$38&amp;" / "&amp;Anmeldung!$G$38&amp;" / "&amp;Anmeldung!$J$38)&lt;&gt;Anmeldung!$R$44),Anmeldung!$B$38&amp;": "&amp;Anmeldung!$D$38&amp;", "&amp;Anmeldung!$E$38&amp;" / "&amp;Anmeldung!$G$38&amp;" / "&amp;Anmeldung!$J$38,"")</f>
        <v/>
      </c>
      <c r="HF25" t="str">
        <f>IF(AND(30&lt;&gt;36,Anmeldung!$D$38&lt;&gt;"",Anmeldung!$U$38="Ja",Anmeldung!$G$38=Anmeldung!$G$44,Anmeldung!$J$38=Anmeldung!$J$44),Anmeldung!$B$38&amp;": "&amp;Anmeldung!$D$38&amp;", "&amp;Anmeldung!$E$38&amp;" / "&amp;Anmeldung!$G$38&amp;" / "&amp;Anmeldung!$J$38,"")</f>
        <v/>
      </c>
      <c r="HI25" t="str">
        <f>IF(AND(31&lt;&gt;38,Anmeldung!$D$38&lt;&gt;"",Anmeldung!$G$38=Anmeldung!$G$45,Anmeldung!$J$38=Anmeldung!$J$45),Anmeldung!$B$38&amp;": "&amp;Anmeldung!$D$38&amp;", "&amp;Anmeldung!$E$38&amp;" / "&amp;Anmeldung!$G$38&amp;" / "&amp;Anmeldung!$J$38,"")</f>
        <v/>
      </c>
      <c r="HJ25" t="str">
        <f>IF(AND(31&lt;&gt;38,Anmeldung!$D$38&lt;&gt;"",Anmeldung!$G$38=Anmeldung!$G$45,Anmeldung!$J$38=Anmeldung!$J$45,(Anmeldung!$B$38&amp;": "&amp;Anmeldung!$D$38&amp;", "&amp;Anmeldung!$E$38&amp;" / "&amp;Anmeldung!$G$38&amp;" / "&amp;Anmeldung!$J$38)&lt;&gt;Anmeldung!$P$45),Anmeldung!$B$38&amp;": "&amp;Anmeldung!$D$38&amp;", "&amp;Anmeldung!$E$38&amp;" / "&amp;Anmeldung!$G$38&amp;" / "&amp;Anmeldung!$J$38,"")</f>
        <v/>
      </c>
      <c r="HK25" t="str">
        <f>IF(AND(31&lt;&gt;38,Anmeldung!$D$38&lt;&gt;"",Anmeldung!$G$38=Anmeldung!$G$45,Anmeldung!$J$38=Anmeldung!$J$45,(Anmeldung!$B$38&amp;": "&amp;Anmeldung!$D$38&amp;", "&amp;Anmeldung!$E$38&amp;" / "&amp;Anmeldung!$G$38&amp;" / "&amp;Anmeldung!$J$38)&lt;&gt;Anmeldung!$O$45),Anmeldung!$B$38&amp;": "&amp;Anmeldung!$D$38&amp;", "&amp;Anmeldung!$E$38&amp;" / "&amp;Anmeldung!$G$38&amp;" / "&amp;Anmeldung!$J$38,"")</f>
        <v/>
      </c>
      <c r="HL25" t="str">
        <f>IF(AND(31&lt;&gt;38,Anmeldung!$D$38&lt;&gt;"",Anmeldung!$G$38&lt;&gt;Anmeldung!$G$45,(Anmeldung!$B$38&amp;": "&amp;Anmeldung!$D$38&amp;", "&amp;Anmeldung!$E$38&amp;" / "&amp;Anmeldung!$G$38&amp;" / "&amp;Anmeldung!$J$38)&lt;&gt;Anmeldung!$S$45),Anmeldung!$B$38&amp;": "&amp;Anmeldung!$D$38&amp;", "&amp;Anmeldung!$E$38&amp;" / "&amp;Anmeldung!$G$38&amp;" / "&amp;Anmeldung!$J$38,"")</f>
        <v/>
      </c>
      <c r="HM25" t="str">
        <f>IF(AND(31&lt;&gt;38,Anmeldung!$D$38&lt;&gt;"",(Anmeldung!$B$38&amp;": "&amp;Anmeldung!$D$38&amp;", "&amp;Anmeldung!$E$38&amp;" / "&amp;Anmeldung!$G$38&amp;" / "&amp;Anmeldung!$J$38)&lt;&gt;Anmeldung!$R$45),Anmeldung!$B$38&amp;": "&amp;Anmeldung!$D$38&amp;", "&amp;Anmeldung!$E$38&amp;" / "&amp;Anmeldung!$G$38&amp;" / "&amp;Anmeldung!$J$38,"")</f>
        <v/>
      </c>
      <c r="HN25" t="str">
        <f>IF(AND(30&lt;&gt;37,Anmeldung!$D$38&lt;&gt;"",Anmeldung!$U$38="Ja",Anmeldung!$G$38=Anmeldung!$G$45,Anmeldung!$J$38=Anmeldung!$J$45),Anmeldung!$B$38&amp;": "&amp;Anmeldung!$D$38&amp;", "&amp;Anmeldung!$E$38&amp;" / "&amp;Anmeldung!$G$38&amp;" / "&amp;Anmeldung!$J$38,"")</f>
        <v/>
      </c>
      <c r="HQ25" t="str">
        <f>IF(AND(31&lt;&gt;39,Anmeldung!$D$38&lt;&gt;"",Anmeldung!$G$38=Anmeldung!$G$46,Anmeldung!$J$38=Anmeldung!$J$46),Anmeldung!$B$38&amp;": "&amp;Anmeldung!$D$38&amp;", "&amp;Anmeldung!$E$38&amp;" / "&amp;Anmeldung!$G$38&amp;" / "&amp;Anmeldung!$J$38,"")</f>
        <v/>
      </c>
      <c r="HR25" t="str">
        <f>IF(AND(31&lt;&gt;39,Anmeldung!$D$38&lt;&gt;"",Anmeldung!$G$38=Anmeldung!$G$46,Anmeldung!$J$38=Anmeldung!$J$46,(Anmeldung!$B$38&amp;": "&amp;Anmeldung!$D$38&amp;", "&amp;Anmeldung!$E$38&amp;" / "&amp;Anmeldung!$G$38&amp;" / "&amp;Anmeldung!$J$38)&lt;&gt;Anmeldung!$P$46),Anmeldung!$B$38&amp;": "&amp;Anmeldung!$D$38&amp;", "&amp;Anmeldung!$E$38&amp;" / "&amp;Anmeldung!$G$38&amp;" / "&amp;Anmeldung!$J$38,"")</f>
        <v/>
      </c>
      <c r="HS25" t="str">
        <f>IF(AND(31&lt;&gt;39,Anmeldung!$D$38&lt;&gt;"",Anmeldung!$G$38=Anmeldung!$G$46,Anmeldung!$J$38=Anmeldung!$J$46,(Anmeldung!$B$38&amp;": "&amp;Anmeldung!$D$38&amp;", "&amp;Anmeldung!$E$38&amp;" / "&amp;Anmeldung!$G$38&amp;" / "&amp;Anmeldung!$J$38)&lt;&gt;Anmeldung!$O$46),Anmeldung!$B$38&amp;": "&amp;Anmeldung!$D$38&amp;", "&amp;Anmeldung!$E$38&amp;" / "&amp;Anmeldung!$G$38&amp;" / "&amp;Anmeldung!$J$38,"")</f>
        <v/>
      </c>
      <c r="HT25" t="str">
        <f>IF(AND(31&lt;&gt;39,Anmeldung!$D$38&lt;&gt;"",Anmeldung!$G$38&lt;&gt;Anmeldung!$G$46,(Anmeldung!$B$38&amp;": "&amp;Anmeldung!$D$38&amp;", "&amp;Anmeldung!$E$38&amp;" / "&amp;Anmeldung!$G$38&amp;" / "&amp;Anmeldung!$J$38)&lt;&gt;Anmeldung!$S$46),Anmeldung!$B$38&amp;": "&amp;Anmeldung!$D$38&amp;", "&amp;Anmeldung!$E$38&amp;" / "&amp;Anmeldung!$G$38&amp;" / "&amp;Anmeldung!$J$38,"")</f>
        <v/>
      </c>
      <c r="HU25" t="str">
        <f>IF(AND(31&lt;&gt;39,Anmeldung!$D$38&lt;&gt;"",(Anmeldung!$B$38&amp;": "&amp;Anmeldung!$D$38&amp;", "&amp;Anmeldung!$E$38&amp;" / "&amp;Anmeldung!$G$38&amp;" / "&amp;Anmeldung!$J$38)&lt;&gt;Anmeldung!$R$46),Anmeldung!$B$38&amp;": "&amp;Anmeldung!$D$38&amp;", "&amp;Anmeldung!$E$38&amp;" / "&amp;Anmeldung!$G$38&amp;" / "&amp;Anmeldung!$J$38,"")</f>
        <v/>
      </c>
      <c r="HV25" t="str">
        <f>IF(AND(30&lt;&gt;38,Anmeldung!$D$38&lt;&gt;"",Anmeldung!$U$38="Ja",Anmeldung!$G$38=Anmeldung!$G$46,Anmeldung!$J$38=Anmeldung!$J$46),Anmeldung!$B$38&amp;": "&amp;Anmeldung!$D$38&amp;", "&amp;Anmeldung!$E$38&amp;" / "&amp;Anmeldung!$G$38&amp;" / "&amp;Anmeldung!$J$38,"")</f>
        <v/>
      </c>
      <c r="HY25" t="str">
        <f>IF(AND(31&lt;&gt;40,Anmeldung!$D$38&lt;&gt;"",Anmeldung!$G$38=Anmeldung!$G$47,Anmeldung!$J$38=Anmeldung!$J$47),Anmeldung!$B$38&amp;": "&amp;Anmeldung!$D$38&amp;", "&amp;Anmeldung!$E$38&amp;" / "&amp;Anmeldung!$G$38&amp;" / "&amp;Anmeldung!$J$38,"")</f>
        <v/>
      </c>
      <c r="HZ25" t="str">
        <f>IF(AND(31&lt;&gt;40,Anmeldung!$D$38&lt;&gt;"",Anmeldung!$G$38=Anmeldung!$G$47,Anmeldung!$J$38=Anmeldung!$J$47,(Anmeldung!$B$38&amp;": "&amp;Anmeldung!$D$38&amp;", "&amp;Anmeldung!$E$38&amp;" / "&amp;Anmeldung!$G$38&amp;" / "&amp;Anmeldung!$J$38)&lt;&gt;Anmeldung!$P$47),Anmeldung!$B$38&amp;": "&amp;Anmeldung!$D$38&amp;", "&amp;Anmeldung!$E$38&amp;" / "&amp;Anmeldung!$G$38&amp;" / "&amp;Anmeldung!$J$38,"")</f>
        <v/>
      </c>
      <c r="IA25" t="str">
        <f>IF(AND(31&lt;&gt;40,Anmeldung!$D$38&lt;&gt;"",Anmeldung!$G$38=Anmeldung!$G$47,Anmeldung!$J$38=Anmeldung!$J$47,(Anmeldung!$B$38&amp;": "&amp;Anmeldung!$D$38&amp;", "&amp;Anmeldung!$E$38&amp;" / "&amp;Anmeldung!$G$38&amp;" / "&amp;Anmeldung!$J$38)&lt;&gt;Anmeldung!$O$47),Anmeldung!$B$38&amp;": "&amp;Anmeldung!$D$38&amp;", "&amp;Anmeldung!$E$38&amp;" / "&amp;Anmeldung!$G$38&amp;" / "&amp;Anmeldung!$J$38,"")</f>
        <v/>
      </c>
      <c r="IB25" t="str">
        <f>IF(AND(31&lt;&gt;40,Anmeldung!$D$38&lt;&gt;"",Anmeldung!$G$38&lt;&gt;Anmeldung!$G$47,(Anmeldung!$B$38&amp;": "&amp;Anmeldung!$D$38&amp;", "&amp;Anmeldung!$E$38&amp;" / "&amp;Anmeldung!$G$38&amp;" / "&amp;Anmeldung!$J$38)&lt;&gt;Anmeldung!$S$47),Anmeldung!$B$38&amp;": "&amp;Anmeldung!$D$38&amp;", "&amp;Anmeldung!$E$38&amp;" / "&amp;Anmeldung!$G$38&amp;" / "&amp;Anmeldung!$J$38,"")</f>
        <v/>
      </c>
      <c r="IC25" t="str">
        <f>IF(AND(31&lt;&gt;40,Anmeldung!$D$38&lt;&gt;"",(Anmeldung!$B$38&amp;": "&amp;Anmeldung!$D$38&amp;", "&amp;Anmeldung!$E$38&amp;" / "&amp;Anmeldung!$G$38&amp;" / "&amp;Anmeldung!$J$38)&lt;&gt;Anmeldung!$R$47),Anmeldung!$B$38&amp;": "&amp;Anmeldung!$D$38&amp;", "&amp;Anmeldung!$E$38&amp;" / "&amp;Anmeldung!$G$38&amp;" / "&amp;Anmeldung!$J$38,"")</f>
        <v/>
      </c>
      <c r="ID25" t="str">
        <f>IF(AND(30&lt;&gt;39,Anmeldung!$D$38&lt;&gt;"",Anmeldung!$U$38="Ja",Anmeldung!$G$38=Anmeldung!$G$47,Anmeldung!$J$38=Anmeldung!$J$47),Anmeldung!$B$38&amp;": "&amp;Anmeldung!$D$38&amp;", "&amp;Anmeldung!$E$38&amp;" / "&amp;Anmeldung!$G$38&amp;" / "&amp;Anmeldung!$J$38,"")</f>
        <v/>
      </c>
    </row>
    <row r="26" spans="1:238" ht="14.25" customHeight="1" x14ac:dyDescent="0.3">
      <c r="A26" t="str">
        <f>IF(AND(32&lt;&gt;11,Anmeldung!$D$39&lt;&gt;"",Anmeldung!$G$39=Anmeldung!$G$18,Anmeldung!$J$39=Anmeldung!$J$18),Anmeldung!$B$39&amp;": "&amp;Anmeldung!$D$39&amp;", "&amp;Anmeldung!$E$39&amp;" / "&amp;Anmeldung!$G$39&amp;" / "&amp;Anmeldung!$J$39,"")</f>
        <v/>
      </c>
      <c r="B26" t="str">
        <f>IF(AND(32&lt;&gt;11,Anmeldung!$D$39&lt;&gt;"",Anmeldung!$G$39=Anmeldung!$G$18,Anmeldung!$J$39=Anmeldung!$J$18,(Anmeldung!$B$39&amp;": "&amp;Anmeldung!$D$39&amp;", "&amp;Anmeldung!$E$39&amp;" / "&amp;Anmeldung!$G$39&amp;" / "&amp;Anmeldung!$J$39)&lt;&gt;Anmeldung!$P$18),Anmeldung!$B$39&amp;": "&amp;Anmeldung!$D$39&amp;", "&amp;Anmeldung!$E$39&amp;" / "&amp;Anmeldung!$G$39&amp;" / "&amp;Anmeldung!$J$39,"")</f>
        <v/>
      </c>
      <c r="C26" t="str">
        <f>IF(AND(32&lt;&gt;11,Anmeldung!$D$39&lt;&gt;"",Anmeldung!$G$39=Anmeldung!$G$18,Anmeldung!$J$39=Anmeldung!$J$18,(Anmeldung!$B$39&amp;": "&amp;Anmeldung!$D$39&amp;", "&amp;Anmeldung!$E$39&amp;" / "&amp;Anmeldung!$G$39&amp;" / "&amp;Anmeldung!$J$39)&lt;&gt;Anmeldung!$O$18),Anmeldung!$B$39&amp;": "&amp;Anmeldung!$D$39&amp;", "&amp;Anmeldung!$E$39&amp;" / "&amp;Anmeldung!$G$39&amp;" / "&amp;Anmeldung!$J$39,"")</f>
        <v/>
      </c>
      <c r="D26" t="str">
        <f>IF(AND(32&lt;&gt;11,Anmeldung!$D$39&lt;&gt;"",Anmeldung!$G$39&lt;&gt;Anmeldung!$G$18,(Anmeldung!$B$39&amp;": "&amp;Anmeldung!$D$39&amp;", "&amp;Anmeldung!$E$39&amp;" / "&amp;Anmeldung!$G$39&amp;" / "&amp;Anmeldung!$J$39)&lt;&gt;Anmeldung!$S$18),Anmeldung!$B$39&amp;": "&amp;Anmeldung!$D$39&amp;", "&amp;Anmeldung!$E$39&amp;" / "&amp;Anmeldung!$G$39&amp;" / "&amp;Anmeldung!$J$39,"")</f>
        <v/>
      </c>
      <c r="E26" t="str">
        <f>IF(AND(32&lt;&gt;11,Anmeldung!$D$39&lt;&gt;"",(Anmeldung!$B$39&amp;": "&amp;Anmeldung!$D$39&amp;", "&amp;Anmeldung!$E$39&amp;" / "&amp;Anmeldung!$G$39&amp;" / "&amp;Anmeldung!$J$39)&lt;&gt;Anmeldung!$R$18),Anmeldung!$B$39&amp;": "&amp;Anmeldung!$D$39&amp;", "&amp;Anmeldung!$E$39&amp;" / "&amp;Anmeldung!$G$39&amp;" / "&amp;Anmeldung!$J$39,"")</f>
        <v/>
      </c>
      <c r="F26" t="str">
        <f>IF(AND(31&lt;&gt;10,Anmeldung!$D$39&lt;&gt;"",Anmeldung!$U$39="Ja",Anmeldung!$G$39=Anmeldung!$G$18,Anmeldung!$J$39=Anmeldung!$J$18),Anmeldung!$B$39&amp;": "&amp;Anmeldung!$D$39&amp;", "&amp;Anmeldung!$E$39&amp;" / "&amp;Anmeldung!$G$39&amp;" / "&amp;Anmeldung!$J$39,"")</f>
        <v/>
      </c>
      <c r="I26" t="str">
        <f>IF(AND(32&lt;&gt;12,Anmeldung!$D$39&lt;&gt;"",Anmeldung!$G$39=Anmeldung!$G$19,Anmeldung!$J$39=Anmeldung!$J$19),Anmeldung!$B$39&amp;": "&amp;Anmeldung!$D$39&amp;", "&amp;Anmeldung!$E$39&amp;" / "&amp;Anmeldung!$G$39&amp;" / "&amp;Anmeldung!$J$39,"")</f>
        <v/>
      </c>
      <c r="J26" t="str">
        <f>IF(AND(32&lt;&gt;12,Anmeldung!$D$39&lt;&gt;"",Anmeldung!$G$39=Anmeldung!$G$19,Anmeldung!$J$39=Anmeldung!$J$19,(Anmeldung!$B$39&amp;": "&amp;Anmeldung!$D$39&amp;", "&amp;Anmeldung!$E$39&amp;" / "&amp;Anmeldung!$G$39&amp;" / "&amp;Anmeldung!$J$39)&lt;&gt;Anmeldung!$P$19),Anmeldung!$B$39&amp;": "&amp;Anmeldung!$D$39&amp;", "&amp;Anmeldung!$E$39&amp;" / "&amp;Anmeldung!$G$39&amp;" / "&amp;Anmeldung!$J$39,"")</f>
        <v/>
      </c>
      <c r="K26" t="str">
        <f>IF(AND(32&lt;&gt;12,Anmeldung!$D$39&lt;&gt;"",Anmeldung!$G$39=Anmeldung!$G$19,Anmeldung!$J$39=Anmeldung!$J$19,(Anmeldung!$B$39&amp;": "&amp;Anmeldung!$D$39&amp;", "&amp;Anmeldung!$E$39&amp;" / "&amp;Anmeldung!$G$39&amp;" / "&amp;Anmeldung!$J$39)&lt;&gt;Anmeldung!$O$19),Anmeldung!$B$39&amp;": "&amp;Anmeldung!$D$39&amp;", "&amp;Anmeldung!$E$39&amp;" / "&amp;Anmeldung!$G$39&amp;" / "&amp;Anmeldung!$J$39,"")</f>
        <v/>
      </c>
      <c r="L26" t="str">
        <f>IF(AND(32&lt;&gt;12,Anmeldung!$D$39&lt;&gt;"",Anmeldung!$G$39&lt;&gt;Anmeldung!$G$19,(Anmeldung!$B$39&amp;": "&amp;Anmeldung!$D$39&amp;", "&amp;Anmeldung!$E$39&amp;" / "&amp;Anmeldung!$G$39&amp;" / "&amp;Anmeldung!$J$39)&lt;&gt;Anmeldung!$S$19),Anmeldung!$B$39&amp;": "&amp;Anmeldung!$D$39&amp;", "&amp;Anmeldung!$E$39&amp;" / "&amp;Anmeldung!$G$39&amp;" / "&amp;Anmeldung!$J$39,"")</f>
        <v/>
      </c>
      <c r="M26" t="str">
        <f>IF(AND(32&lt;&gt;12,Anmeldung!$D$39&lt;&gt;"",(Anmeldung!$B$39&amp;": "&amp;Anmeldung!$D$39&amp;", "&amp;Anmeldung!$E$39&amp;" / "&amp;Anmeldung!$G$39&amp;" / "&amp;Anmeldung!$J$39)&lt;&gt;Anmeldung!$R$19),Anmeldung!$B$39&amp;": "&amp;Anmeldung!$D$39&amp;", "&amp;Anmeldung!$E$39&amp;" / "&amp;Anmeldung!$G$39&amp;" / "&amp;Anmeldung!$J$39,"")</f>
        <v/>
      </c>
      <c r="N26" t="str">
        <f>IF(AND(31&lt;&gt;11,Anmeldung!$D$39&lt;&gt;"",Anmeldung!$U$39="Ja",Anmeldung!$G$39=Anmeldung!$G$19,Anmeldung!$J$39=Anmeldung!$J$19),Anmeldung!$B$39&amp;": "&amp;Anmeldung!$D$39&amp;", "&amp;Anmeldung!$E$39&amp;" / "&amp;Anmeldung!$G$39&amp;" / "&amp;Anmeldung!$J$39,"")</f>
        <v/>
      </c>
      <c r="Q26" t="str">
        <f>IF(AND(32&lt;&gt;13,Anmeldung!$D$39&lt;&gt;"",Anmeldung!$G$39=Anmeldung!$G$20,Anmeldung!$J$39=Anmeldung!$J$20),Anmeldung!$B$39&amp;": "&amp;Anmeldung!$D$39&amp;", "&amp;Anmeldung!$E$39&amp;" / "&amp;Anmeldung!$G$39&amp;" / "&amp;Anmeldung!$J$39,"")</f>
        <v/>
      </c>
      <c r="R26" t="str">
        <f>IF(AND(32&lt;&gt;13,Anmeldung!$D$39&lt;&gt;"",Anmeldung!$G$39=Anmeldung!$G$20,Anmeldung!$J$39=Anmeldung!$J$20,(Anmeldung!$B$39&amp;": "&amp;Anmeldung!$D$39&amp;", "&amp;Anmeldung!$E$39&amp;" / "&amp;Anmeldung!$G$39&amp;" / "&amp;Anmeldung!$J$39)&lt;&gt;Anmeldung!$P$20),Anmeldung!$B$39&amp;": "&amp;Anmeldung!$D$39&amp;", "&amp;Anmeldung!$E$39&amp;" / "&amp;Anmeldung!$G$39&amp;" / "&amp;Anmeldung!$J$39,"")</f>
        <v/>
      </c>
      <c r="S26" t="str">
        <f>IF(AND(32&lt;&gt;13,Anmeldung!$D$39&lt;&gt;"",Anmeldung!$G$39=Anmeldung!$G$20,Anmeldung!$J$39=Anmeldung!$J$20,(Anmeldung!$B$39&amp;": "&amp;Anmeldung!$D$39&amp;", "&amp;Anmeldung!$E$39&amp;" / "&amp;Anmeldung!$G$39&amp;" / "&amp;Anmeldung!$J$39)&lt;&gt;Anmeldung!$O$20),Anmeldung!$B$39&amp;": "&amp;Anmeldung!$D$39&amp;", "&amp;Anmeldung!$E$39&amp;" / "&amp;Anmeldung!$G$39&amp;" / "&amp;Anmeldung!$J$39,"")</f>
        <v/>
      </c>
      <c r="T26" t="str">
        <f>IF(AND(32&lt;&gt;13,Anmeldung!$D$39&lt;&gt;"",Anmeldung!$G$39&lt;&gt;Anmeldung!$G$20,(Anmeldung!$B$39&amp;": "&amp;Anmeldung!$D$39&amp;", "&amp;Anmeldung!$E$39&amp;" / "&amp;Anmeldung!$G$39&amp;" / "&amp;Anmeldung!$J$39)&lt;&gt;Anmeldung!$S$20),Anmeldung!$B$39&amp;": "&amp;Anmeldung!$D$39&amp;", "&amp;Anmeldung!$E$39&amp;" / "&amp;Anmeldung!$G$39&amp;" / "&amp;Anmeldung!$J$39,"")</f>
        <v/>
      </c>
      <c r="U26" t="str">
        <f>IF(AND(32&lt;&gt;13,Anmeldung!$D$39&lt;&gt;"",(Anmeldung!$B$39&amp;": "&amp;Anmeldung!$D$39&amp;", "&amp;Anmeldung!$E$39&amp;" / "&amp;Anmeldung!$G$39&amp;" / "&amp;Anmeldung!$J$39)&lt;&gt;Anmeldung!$R$20),Anmeldung!$B$39&amp;": "&amp;Anmeldung!$D$39&amp;", "&amp;Anmeldung!$E$39&amp;" / "&amp;Anmeldung!$G$39&amp;" / "&amp;Anmeldung!$J$39,"")</f>
        <v/>
      </c>
      <c r="V26" t="str">
        <f>IF(AND(31&lt;&gt;12,Anmeldung!$D$39&lt;&gt;"",Anmeldung!$U$39="Ja",Anmeldung!$G$39=Anmeldung!$G$20,Anmeldung!$J$39=Anmeldung!$J$20),Anmeldung!$B$39&amp;": "&amp;Anmeldung!$D$39&amp;", "&amp;Anmeldung!$E$39&amp;" / "&amp;Anmeldung!$G$39&amp;" / "&amp;Anmeldung!$J$39,"")</f>
        <v/>
      </c>
      <c r="Y26" t="str">
        <f>IF(AND(32&lt;&gt;14,Anmeldung!$D$39&lt;&gt;"",Anmeldung!$G$39=Anmeldung!$G$21,Anmeldung!$J$39=Anmeldung!$J$21),Anmeldung!$B$39&amp;": "&amp;Anmeldung!$D$39&amp;", "&amp;Anmeldung!$E$39&amp;" / "&amp;Anmeldung!$G$39&amp;" / "&amp;Anmeldung!$J$39,"")</f>
        <v/>
      </c>
      <c r="Z26" t="str">
        <f>IF(AND(32&lt;&gt;14,Anmeldung!$D$39&lt;&gt;"",Anmeldung!$G$39=Anmeldung!$G$21,Anmeldung!$J$39=Anmeldung!$J$21,(Anmeldung!$B$39&amp;": "&amp;Anmeldung!$D$39&amp;", "&amp;Anmeldung!$E$39&amp;" / "&amp;Anmeldung!$G$39&amp;" / "&amp;Anmeldung!$J$39)&lt;&gt;Anmeldung!$P$21),Anmeldung!$B$39&amp;": "&amp;Anmeldung!$D$39&amp;", "&amp;Anmeldung!$E$39&amp;" / "&amp;Anmeldung!$G$39&amp;" / "&amp;Anmeldung!$J$39,"")</f>
        <v/>
      </c>
      <c r="AA26" t="str">
        <f>IF(AND(32&lt;&gt;14,Anmeldung!$D$39&lt;&gt;"",Anmeldung!$G$39=Anmeldung!$G$21,Anmeldung!$J$39=Anmeldung!$J$21,(Anmeldung!$B$39&amp;": "&amp;Anmeldung!$D$39&amp;", "&amp;Anmeldung!$E$39&amp;" / "&amp;Anmeldung!$G$39&amp;" / "&amp;Anmeldung!$J$39)&lt;&gt;Anmeldung!$O$21),Anmeldung!$B$39&amp;": "&amp;Anmeldung!$D$39&amp;", "&amp;Anmeldung!$E$39&amp;" / "&amp;Anmeldung!$G$39&amp;" / "&amp;Anmeldung!$J$39,"")</f>
        <v/>
      </c>
      <c r="AB26" t="str">
        <f>IF(AND(32&lt;&gt;14,Anmeldung!$D$39&lt;&gt;"",Anmeldung!$G$39&lt;&gt;Anmeldung!$G$21,(Anmeldung!$B$39&amp;": "&amp;Anmeldung!$D$39&amp;", "&amp;Anmeldung!$E$39&amp;" / "&amp;Anmeldung!$G$39&amp;" / "&amp;Anmeldung!$J$39)&lt;&gt;Anmeldung!$S$21),Anmeldung!$B$39&amp;": "&amp;Anmeldung!$D$39&amp;", "&amp;Anmeldung!$E$39&amp;" / "&amp;Anmeldung!$G$39&amp;" / "&amp;Anmeldung!$J$39,"")</f>
        <v/>
      </c>
      <c r="AC26" t="str">
        <f>IF(AND(32&lt;&gt;14,Anmeldung!$D$39&lt;&gt;"",(Anmeldung!$B$39&amp;": "&amp;Anmeldung!$D$39&amp;", "&amp;Anmeldung!$E$39&amp;" / "&amp;Anmeldung!$G$39&amp;" / "&amp;Anmeldung!$J$39)&lt;&gt;Anmeldung!$R$21),Anmeldung!$B$39&amp;": "&amp;Anmeldung!$D$39&amp;", "&amp;Anmeldung!$E$39&amp;" / "&amp;Anmeldung!$G$39&amp;" / "&amp;Anmeldung!$J$39,"")</f>
        <v/>
      </c>
      <c r="AD26" t="str">
        <f>IF(AND(31&lt;&gt;13,Anmeldung!$D$39&lt;&gt;"",Anmeldung!$U$39="Ja",Anmeldung!$G$39=Anmeldung!$G$21,Anmeldung!$J$39=Anmeldung!$J$21),Anmeldung!$B$39&amp;": "&amp;Anmeldung!$D$39&amp;", "&amp;Anmeldung!$E$39&amp;" / "&amp;Anmeldung!$G$39&amp;" / "&amp;Anmeldung!$J$39,"")</f>
        <v/>
      </c>
      <c r="AG26" t="str">
        <f>IF(AND(32&lt;&gt;15,Anmeldung!$D$39&lt;&gt;"",Anmeldung!$G$39=Anmeldung!$G$22,Anmeldung!$J$39=Anmeldung!$J$22),Anmeldung!$B$39&amp;": "&amp;Anmeldung!$D$39&amp;", "&amp;Anmeldung!$E$39&amp;" / "&amp;Anmeldung!$G$39&amp;" / "&amp;Anmeldung!$J$39,"")</f>
        <v/>
      </c>
      <c r="AH26" t="str">
        <f>IF(AND(32&lt;&gt;15,Anmeldung!$D$39&lt;&gt;"",Anmeldung!$G$39=Anmeldung!$G$22,Anmeldung!$J$39=Anmeldung!$J$22,(Anmeldung!$B$39&amp;": "&amp;Anmeldung!$D$39&amp;", "&amp;Anmeldung!$E$39&amp;" / "&amp;Anmeldung!$G$39&amp;" / "&amp;Anmeldung!$J$39)&lt;&gt;Anmeldung!$P$22),Anmeldung!$B$39&amp;": "&amp;Anmeldung!$D$39&amp;", "&amp;Anmeldung!$E$39&amp;" / "&amp;Anmeldung!$G$39&amp;" / "&amp;Anmeldung!$J$39,"")</f>
        <v/>
      </c>
      <c r="AI26" t="str">
        <f>IF(AND(32&lt;&gt;15,Anmeldung!$D$39&lt;&gt;"",Anmeldung!$G$39=Anmeldung!$G$22,Anmeldung!$J$39=Anmeldung!$J$22,(Anmeldung!$B$39&amp;": "&amp;Anmeldung!$D$39&amp;", "&amp;Anmeldung!$E$39&amp;" / "&amp;Anmeldung!$G$39&amp;" / "&amp;Anmeldung!$J$39)&lt;&gt;Anmeldung!$O$22),Anmeldung!$B$39&amp;": "&amp;Anmeldung!$D$39&amp;", "&amp;Anmeldung!$E$39&amp;" / "&amp;Anmeldung!$G$39&amp;" / "&amp;Anmeldung!$J$39,"")</f>
        <v/>
      </c>
      <c r="AJ26" t="str">
        <f>IF(AND(32&lt;&gt;15,Anmeldung!$D$39&lt;&gt;"",Anmeldung!$G$39&lt;&gt;Anmeldung!$G$22,(Anmeldung!$B$39&amp;": "&amp;Anmeldung!$D$39&amp;", "&amp;Anmeldung!$E$39&amp;" / "&amp;Anmeldung!$G$39&amp;" / "&amp;Anmeldung!$J$39)&lt;&gt;Anmeldung!$S$22),Anmeldung!$B$39&amp;": "&amp;Anmeldung!$D$39&amp;", "&amp;Anmeldung!$E$39&amp;" / "&amp;Anmeldung!$G$39&amp;" / "&amp;Anmeldung!$J$39,"")</f>
        <v/>
      </c>
      <c r="AK26" t="str">
        <f>IF(AND(32&lt;&gt;15,Anmeldung!$D$39&lt;&gt;"",(Anmeldung!$B$39&amp;": "&amp;Anmeldung!$D$39&amp;", "&amp;Anmeldung!$E$39&amp;" / "&amp;Anmeldung!$G$39&amp;" / "&amp;Anmeldung!$J$39)&lt;&gt;Anmeldung!$R$22),Anmeldung!$B$39&amp;": "&amp;Anmeldung!$D$39&amp;", "&amp;Anmeldung!$E$39&amp;" / "&amp;Anmeldung!$G$39&amp;" / "&amp;Anmeldung!$J$39,"")</f>
        <v/>
      </c>
      <c r="AL26" t="str">
        <f>IF(AND(31&lt;&gt;14,Anmeldung!$D$39&lt;&gt;"",Anmeldung!$U$39="Ja",Anmeldung!$G$39=Anmeldung!$G$22,Anmeldung!$J$39=Anmeldung!$J$22),Anmeldung!$B$39&amp;": "&amp;Anmeldung!$D$39&amp;", "&amp;Anmeldung!$E$39&amp;" / "&amp;Anmeldung!$G$39&amp;" / "&amp;Anmeldung!$J$39,"")</f>
        <v/>
      </c>
      <c r="AO26" t="str">
        <f>IF(AND(32&lt;&gt;16,Anmeldung!$D$39&lt;&gt;"",Anmeldung!$G$39=Anmeldung!$G$23,Anmeldung!$J$39=Anmeldung!$J$23),Anmeldung!$B$39&amp;": "&amp;Anmeldung!$D$39&amp;", "&amp;Anmeldung!$E$39&amp;" / "&amp;Anmeldung!$G$39&amp;" / "&amp;Anmeldung!$J$39,"")</f>
        <v/>
      </c>
      <c r="AP26" t="str">
        <f>IF(AND(32&lt;&gt;16,Anmeldung!$D$39&lt;&gt;"",Anmeldung!$G$39=Anmeldung!$G$23,Anmeldung!$J$39=Anmeldung!$J$23,(Anmeldung!$B$39&amp;": "&amp;Anmeldung!$D$39&amp;", "&amp;Anmeldung!$E$39&amp;" / "&amp;Anmeldung!$G$39&amp;" / "&amp;Anmeldung!$J$39)&lt;&gt;Anmeldung!$P$23),Anmeldung!$B$39&amp;": "&amp;Anmeldung!$D$39&amp;", "&amp;Anmeldung!$E$39&amp;" / "&amp;Anmeldung!$G$39&amp;" / "&amp;Anmeldung!$J$39,"")</f>
        <v/>
      </c>
      <c r="AQ26" t="str">
        <f>IF(AND(32&lt;&gt;16,Anmeldung!$D$39&lt;&gt;"",Anmeldung!$G$39=Anmeldung!$G$23,Anmeldung!$J$39=Anmeldung!$J$23,(Anmeldung!$B$39&amp;": "&amp;Anmeldung!$D$39&amp;", "&amp;Anmeldung!$E$39&amp;" / "&amp;Anmeldung!$G$39&amp;" / "&amp;Anmeldung!$J$39)&lt;&gt;Anmeldung!$O$23),Anmeldung!$B$39&amp;": "&amp;Anmeldung!$D$39&amp;", "&amp;Anmeldung!$E$39&amp;" / "&amp;Anmeldung!$G$39&amp;" / "&amp;Anmeldung!$J$39,"")</f>
        <v/>
      </c>
      <c r="AR26" t="str">
        <f>IF(AND(32&lt;&gt;16,Anmeldung!$D$39&lt;&gt;"",Anmeldung!$G$39&lt;&gt;Anmeldung!$G$23,(Anmeldung!$B$39&amp;": "&amp;Anmeldung!$D$39&amp;", "&amp;Anmeldung!$E$39&amp;" / "&amp;Anmeldung!$G$39&amp;" / "&amp;Anmeldung!$J$39)&lt;&gt;Anmeldung!$S$23),Anmeldung!$B$39&amp;": "&amp;Anmeldung!$D$39&amp;", "&amp;Anmeldung!$E$39&amp;" / "&amp;Anmeldung!$G$39&amp;" / "&amp;Anmeldung!$J$39,"")</f>
        <v/>
      </c>
      <c r="AS26" t="str">
        <f>IF(AND(32&lt;&gt;16,Anmeldung!$D$39&lt;&gt;"",(Anmeldung!$B$39&amp;": "&amp;Anmeldung!$D$39&amp;", "&amp;Anmeldung!$E$39&amp;" / "&amp;Anmeldung!$G$39&amp;" / "&amp;Anmeldung!$J$39)&lt;&gt;Anmeldung!$R$23),Anmeldung!$B$39&amp;": "&amp;Anmeldung!$D$39&amp;", "&amp;Anmeldung!$E$39&amp;" / "&amp;Anmeldung!$G$39&amp;" / "&amp;Anmeldung!$J$39,"")</f>
        <v/>
      </c>
      <c r="AT26" t="str">
        <f>IF(AND(31&lt;&gt;15,Anmeldung!$D$39&lt;&gt;"",Anmeldung!$U$39="Ja",Anmeldung!$G$39=Anmeldung!$G$23,Anmeldung!$J$39=Anmeldung!$J$23),Anmeldung!$B$39&amp;": "&amp;Anmeldung!$D$39&amp;", "&amp;Anmeldung!$E$39&amp;" / "&amp;Anmeldung!$G$39&amp;" / "&amp;Anmeldung!$J$39,"")</f>
        <v/>
      </c>
      <c r="AW26" t="str">
        <f>IF(AND(32&lt;&gt;17,Anmeldung!$D$39&lt;&gt;"",Anmeldung!$G$39=Anmeldung!$G$24,Anmeldung!$J$39=Anmeldung!$J$24),Anmeldung!$B$39&amp;": "&amp;Anmeldung!$D$39&amp;", "&amp;Anmeldung!$E$39&amp;" / "&amp;Anmeldung!$G$39&amp;" / "&amp;Anmeldung!$J$39,"")</f>
        <v/>
      </c>
      <c r="AX26" t="str">
        <f>IF(AND(32&lt;&gt;17,Anmeldung!$D$39&lt;&gt;"",Anmeldung!$G$39=Anmeldung!$G$24,Anmeldung!$J$39=Anmeldung!$J$24,(Anmeldung!$B$39&amp;": "&amp;Anmeldung!$D$39&amp;", "&amp;Anmeldung!$E$39&amp;" / "&amp;Anmeldung!$G$39&amp;" / "&amp;Anmeldung!$J$39)&lt;&gt;Anmeldung!$P$24),Anmeldung!$B$39&amp;": "&amp;Anmeldung!$D$39&amp;", "&amp;Anmeldung!$E$39&amp;" / "&amp;Anmeldung!$G$39&amp;" / "&amp;Anmeldung!$J$39,"")</f>
        <v/>
      </c>
      <c r="AY26" t="str">
        <f>IF(AND(32&lt;&gt;17,Anmeldung!$D$39&lt;&gt;"",Anmeldung!$G$39=Anmeldung!$G$24,Anmeldung!$J$39=Anmeldung!$J$24,(Anmeldung!$B$39&amp;": "&amp;Anmeldung!$D$39&amp;", "&amp;Anmeldung!$E$39&amp;" / "&amp;Anmeldung!$G$39&amp;" / "&amp;Anmeldung!$J$39)&lt;&gt;Anmeldung!$O$24),Anmeldung!$B$39&amp;": "&amp;Anmeldung!$D$39&amp;", "&amp;Anmeldung!$E$39&amp;" / "&amp;Anmeldung!$G$39&amp;" / "&amp;Anmeldung!$J$39,"")</f>
        <v/>
      </c>
      <c r="AZ26" t="str">
        <f>IF(AND(32&lt;&gt;17,Anmeldung!$D$39&lt;&gt;"",Anmeldung!$G$39&lt;&gt;Anmeldung!$G$24,(Anmeldung!$B$39&amp;": "&amp;Anmeldung!$D$39&amp;", "&amp;Anmeldung!$E$39&amp;" / "&amp;Anmeldung!$G$39&amp;" / "&amp;Anmeldung!$J$39)&lt;&gt;Anmeldung!$S$24),Anmeldung!$B$39&amp;": "&amp;Anmeldung!$D$39&amp;", "&amp;Anmeldung!$E$39&amp;" / "&amp;Anmeldung!$G$39&amp;" / "&amp;Anmeldung!$J$39,"")</f>
        <v/>
      </c>
      <c r="BA26" t="str">
        <f>IF(AND(32&lt;&gt;17,Anmeldung!$D$39&lt;&gt;"",(Anmeldung!$B$39&amp;": "&amp;Anmeldung!$D$39&amp;", "&amp;Anmeldung!$E$39&amp;" / "&amp;Anmeldung!$G$39&amp;" / "&amp;Anmeldung!$J$39)&lt;&gt;Anmeldung!$R$24),Anmeldung!$B$39&amp;": "&amp;Anmeldung!$D$39&amp;", "&amp;Anmeldung!$E$39&amp;" / "&amp;Anmeldung!$G$39&amp;" / "&amp;Anmeldung!$J$39,"")</f>
        <v/>
      </c>
      <c r="BB26" t="str">
        <f>IF(AND(31&lt;&gt;16,Anmeldung!$D$39&lt;&gt;"",Anmeldung!$U$39="Ja",Anmeldung!$G$39=Anmeldung!$G$24,Anmeldung!$J$39=Anmeldung!$J$24),Anmeldung!$B$39&amp;": "&amp;Anmeldung!$D$39&amp;", "&amp;Anmeldung!$E$39&amp;" / "&amp;Anmeldung!$G$39&amp;" / "&amp;Anmeldung!$J$39,"")</f>
        <v/>
      </c>
      <c r="BE26" t="str">
        <f>IF(AND(32&lt;&gt;18,Anmeldung!$D$39&lt;&gt;"",Anmeldung!$G$39=Anmeldung!$G$25,Anmeldung!$J$39=Anmeldung!$J$25),Anmeldung!$B$39&amp;": "&amp;Anmeldung!$D$39&amp;", "&amp;Anmeldung!$E$39&amp;" / "&amp;Anmeldung!$G$39&amp;" / "&amp;Anmeldung!$J$39,"")</f>
        <v/>
      </c>
      <c r="BF26" t="str">
        <f>IF(AND(32&lt;&gt;18,Anmeldung!$D$39&lt;&gt;"",Anmeldung!$G$39=Anmeldung!$G$25,Anmeldung!$J$39=Anmeldung!$J$25,(Anmeldung!$B$39&amp;": "&amp;Anmeldung!$D$39&amp;", "&amp;Anmeldung!$E$39&amp;" / "&amp;Anmeldung!$G$39&amp;" / "&amp;Anmeldung!$J$39)&lt;&gt;Anmeldung!$P$25),Anmeldung!$B$39&amp;": "&amp;Anmeldung!$D$39&amp;", "&amp;Anmeldung!$E$39&amp;" / "&amp;Anmeldung!$G$39&amp;" / "&amp;Anmeldung!$J$39,"")</f>
        <v/>
      </c>
      <c r="BG26" t="str">
        <f>IF(AND(32&lt;&gt;18,Anmeldung!$D$39&lt;&gt;"",Anmeldung!$G$39=Anmeldung!$G$25,Anmeldung!$J$39=Anmeldung!$J$25,(Anmeldung!$B$39&amp;": "&amp;Anmeldung!$D$39&amp;", "&amp;Anmeldung!$E$39&amp;" / "&amp;Anmeldung!$G$39&amp;" / "&amp;Anmeldung!$J$39)&lt;&gt;Anmeldung!$O$25),Anmeldung!$B$39&amp;": "&amp;Anmeldung!$D$39&amp;", "&amp;Anmeldung!$E$39&amp;" / "&amp;Anmeldung!$G$39&amp;" / "&amp;Anmeldung!$J$39,"")</f>
        <v/>
      </c>
      <c r="BH26" t="str">
        <f>IF(AND(32&lt;&gt;18,Anmeldung!$D$39&lt;&gt;"",Anmeldung!$G$39&lt;&gt;Anmeldung!$G$25,(Anmeldung!$B$39&amp;": "&amp;Anmeldung!$D$39&amp;", "&amp;Anmeldung!$E$39&amp;" / "&amp;Anmeldung!$G$39&amp;" / "&amp;Anmeldung!$J$39)&lt;&gt;Anmeldung!$S$25),Anmeldung!$B$39&amp;": "&amp;Anmeldung!$D$39&amp;", "&amp;Anmeldung!$E$39&amp;" / "&amp;Anmeldung!$G$39&amp;" / "&amp;Anmeldung!$J$39,"")</f>
        <v/>
      </c>
      <c r="BI26" t="str">
        <f>IF(AND(32&lt;&gt;18,Anmeldung!$D$39&lt;&gt;"",(Anmeldung!$B$39&amp;": "&amp;Anmeldung!$D$39&amp;", "&amp;Anmeldung!$E$39&amp;" / "&amp;Anmeldung!$G$39&amp;" / "&amp;Anmeldung!$J$39)&lt;&gt;Anmeldung!$R$25),Anmeldung!$B$39&amp;": "&amp;Anmeldung!$D$39&amp;", "&amp;Anmeldung!$E$39&amp;" / "&amp;Anmeldung!$G$39&amp;" / "&amp;Anmeldung!$J$39,"")</f>
        <v/>
      </c>
      <c r="BJ26" t="str">
        <f>IF(AND(31&lt;&gt;17,Anmeldung!$D$39&lt;&gt;"",Anmeldung!$U$39="Ja",Anmeldung!$G$39=Anmeldung!$G$25,Anmeldung!$J$39=Anmeldung!$J$25),Anmeldung!$B$39&amp;": "&amp;Anmeldung!$D$39&amp;", "&amp;Anmeldung!$E$39&amp;" / "&amp;Anmeldung!$G$39&amp;" / "&amp;Anmeldung!$J$39,"")</f>
        <v/>
      </c>
      <c r="BM26" t="str">
        <f>IF(AND(32&lt;&gt;19,Anmeldung!$D$39&lt;&gt;"",Anmeldung!$G$39=Anmeldung!$G$26,Anmeldung!$J$39=Anmeldung!$J$26),Anmeldung!$B$39&amp;": "&amp;Anmeldung!$D$39&amp;", "&amp;Anmeldung!$E$39&amp;" / "&amp;Anmeldung!$G$39&amp;" / "&amp;Anmeldung!$J$39,"")</f>
        <v/>
      </c>
      <c r="BN26" t="str">
        <f>IF(AND(32&lt;&gt;19,Anmeldung!$D$39&lt;&gt;"",Anmeldung!$G$39=Anmeldung!$G$26,Anmeldung!$J$39=Anmeldung!$J$26,(Anmeldung!$B$39&amp;": "&amp;Anmeldung!$D$39&amp;", "&amp;Anmeldung!$E$39&amp;" / "&amp;Anmeldung!$G$39&amp;" / "&amp;Anmeldung!$J$39)&lt;&gt;Anmeldung!$P$26),Anmeldung!$B$39&amp;": "&amp;Anmeldung!$D$39&amp;", "&amp;Anmeldung!$E$39&amp;" / "&amp;Anmeldung!$G$39&amp;" / "&amp;Anmeldung!$J$39,"")</f>
        <v/>
      </c>
      <c r="BO26" t="str">
        <f>IF(AND(32&lt;&gt;19,Anmeldung!$D$39&lt;&gt;"",Anmeldung!$G$39=Anmeldung!$G$26,Anmeldung!$J$39=Anmeldung!$J$26,(Anmeldung!$B$39&amp;": "&amp;Anmeldung!$D$39&amp;", "&amp;Anmeldung!$E$39&amp;" / "&amp;Anmeldung!$G$39&amp;" / "&amp;Anmeldung!$J$39)&lt;&gt;Anmeldung!$O$26),Anmeldung!$B$39&amp;": "&amp;Anmeldung!$D$39&amp;", "&amp;Anmeldung!$E$39&amp;" / "&amp;Anmeldung!$G$39&amp;" / "&amp;Anmeldung!$J$39,"")</f>
        <v/>
      </c>
      <c r="BP26" t="str">
        <f>IF(AND(32&lt;&gt;19,Anmeldung!$D$39&lt;&gt;"",Anmeldung!$G$39&lt;&gt;Anmeldung!$G$26,(Anmeldung!$B$39&amp;": "&amp;Anmeldung!$D$39&amp;", "&amp;Anmeldung!$E$39&amp;" / "&amp;Anmeldung!$G$39&amp;" / "&amp;Anmeldung!$J$39)&lt;&gt;Anmeldung!$S$26),Anmeldung!$B$39&amp;": "&amp;Anmeldung!$D$39&amp;", "&amp;Anmeldung!$E$39&amp;" / "&amp;Anmeldung!$G$39&amp;" / "&amp;Anmeldung!$J$39,"")</f>
        <v/>
      </c>
      <c r="BQ26" t="str">
        <f>IF(AND(32&lt;&gt;19,Anmeldung!$D$39&lt;&gt;"",(Anmeldung!$B$39&amp;": "&amp;Anmeldung!$D$39&amp;", "&amp;Anmeldung!$E$39&amp;" / "&amp;Anmeldung!$G$39&amp;" / "&amp;Anmeldung!$J$39)&lt;&gt;Anmeldung!$R$26),Anmeldung!$B$39&amp;": "&amp;Anmeldung!$D$39&amp;", "&amp;Anmeldung!$E$39&amp;" / "&amp;Anmeldung!$G$39&amp;" / "&amp;Anmeldung!$J$39,"")</f>
        <v/>
      </c>
      <c r="BR26" t="str">
        <f>IF(AND(31&lt;&gt;18,Anmeldung!$D$39&lt;&gt;"",Anmeldung!$U$39="Ja",Anmeldung!$G$39=Anmeldung!$G$26,Anmeldung!$J$39=Anmeldung!$J$26),Anmeldung!$B$39&amp;": "&amp;Anmeldung!$D$39&amp;", "&amp;Anmeldung!$E$39&amp;" / "&amp;Anmeldung!$G$39&amp;" / "&amp;Anmeldung!$J$39,"")</f>
        <v/>
      </c>
      <c r="BU26" t="str">
        <f>IF(AND(32&lt;&gt;20,Anmeldung!$D$39&lt;&gt;"",Anmeldung!$G$39=Anmeldung!$G$27,Anmeldung!$J$39=Anmeldung!$J$27),Anmeldung!$B$39&amp;": "&amp;Anmeldung!$D$39&amp;", "&amp;Anmeldung!$E$39&amp;" / "&amp;Anmeldung!$G$39&amp;" / "&amp;Anmeldung!$J$39,"")</f>
        <v/>
      </c>
      <c r="BV26" t="str">
        <f>IF(AND(32&lt;&gt;20,Anmeldung!$D$39&lt;&gt;"",Anmeldung!$G$39=Anmeldung!$G$27,Anmeldung!$J$39=Anmeldung!$J$27,(Anmeldung!$B$39&amp;": "&amp;Anmeldung!$D$39&amp;", "&amp;Anmeldung!$E$39&amp;" / "&amp;Anmeldung!$G$39&amp;" / "&amp;Anmeldung!$J$39)&lt;&gt;Anmeldung!$P$27),Anmeldung!$B$39&amp;": "&amp;Anmeldung!$D$39&amp;", "&amp;Anmeldung!$E$39&amp;" / "&amp;Anmeldung!$G$39&amp;" / "&amp;Anmeldung!$J$39,"")</f>
        <v/>
      </c>
      <c r="BW26" t="str">
        <f>IF(AND(32&lt;&gt;20,Anmeldung!$D$39&lt;&gt;"",Anmeldung!$G$39=Anmeldung!$G$27,Anmeldung!$J$39=Anmeldung!$J$27,(Anmeldung!$B$39&amp;": "&amp;Anmeldung!$D$39&amp;", "&amp;Anmeldung!$E$39&amp;" / "&amp;Anmeldung!$G$39&amp;" / "&amp;Anmeldung!$J$39)&lt;&gt;Anmeldung!$O$27),Anmeldung!$B$39&amp;": "&amp;Anmeldung!$D$39&amp;", "&amp;Anmeldung!$E$39&amp;" / "&amp;Anmeldung!$G$39&amp;" / "&amp;Anmeldung!$J$39,"")</f>
        <v/>
      </c>
      <c r="BX26" t="str">
        <f>IF(AND(32&lt;&gt;20,Anmeldung!$D$39&lt;&gt;"",Anmeldung!$G$39&lt;&gt;Anmeldung!$G$27,(Anmeldung!$B$39&amp;": "&amp;Anmeldung!$D$39&amp;", "&amp;Anmeldung!$E$39&amp;" / "&amp;Anmeldung!$G$39&amp;" / "&amp;Anmeldung!$J$39)&lt;&gt;Anmeldung!$S$27),Anmeldung!$B$39&amp;": "&amp;Anmeldung!$D$39&amp;", "&amp;Anmeldung!$E$39&amp;" / "&amp;Anmeldung!$G$39&amp;" / "&amp;Anmeldung!$J$39,"")</f>
        <v/>
      </c>
      <c r="BY26" t="str">
        <f>IF(AND(32&lt;&gt;20,Anmeldung!$D$39&lt;&gt;"",(Anmeldung!$B$39&amp;": "&amp;Anmeldung!$D$39&amp;", "&amp;Anmeldung!$E$39&amp;" / "&amp;Anmeldung!$G$39&amp;" / "&amp;Anmeldung!$J$39)&lt;&gt;Anmeldung!$R$27),Anmeldung!$B$39&amp;": "&amp;Anmeldung!$D$39&amp;", "&amp;Anmeldung!$E$39&amp;" / "&amp;Anmeldung!$G$39&amp;" / "&amp;Anmeldung!$J$39,"")</f>
        <v/>
      </c>
      <c r="BZ26" t="str">
        <f>IF(AND(31&lt;&gt;19,Anmeldung!$D$39&lt;&gt;"",Anmeldung!$U$39="Ja",Anmeldung!$G$39=Anmeldung!$G$27,Anmeldung!$J$39=Anmeldung!$J$27),Anmeldung!$B$39&amp;": "&amp;Anmeldung!$D$39&amp;", "&amp;Anmeldung!$E$39&amp;" / "&amp;Anmeldung!$G$39&amp;" / "&amp;Anmeldung!$J$39,"")</f>
        <v/>
      </c>
      <c r="CC26" t="str">
        <f>IF(AND(32&lt;&gt;21,Anmeldung!$D$39&lt;&gt;"",Anmeldung!$G$39=Anmeldung!$G$28,Anmeldung!$J$39=Anmeldung!$J$28),Anmeldung!$B$39&amp;": "&amp;Anmeldung!$D$39&amp;", "&amp;Anmeldung!$E$39&amp;" / "&amp;Anmeldung!$G$39&amp;" / "&amp;Anmeldung!$J$39,"")</f>
        <v/>
      </c>
      <c r="CD26" t="str">
        <f>IF(AND(32&lt;&gt;21,Anmeldung!$D$39&lt;&gt;"",Anmeldung!$G$39=Anmeldung!$G$28,Anmeldung!$J$39=Anmeldung!$J$28,(Anmeldung!$B$39&amp;": "&amp;Anmeldung!$D$39&amp;", "&amp;Anmeldung!$E$39&amp;" / "&amp;Anmeldung!$G$39&amp;" / "&amp;Anmeldung!$J$39)&lt;&gt;Anmeldung!$P$28),Anmeldung!$B$39&amp;": "&amp;Anmeldung!$D$39&amp;", "&amp;Anmeldung!$E$39&amp;" / "&amp;Anmeldung!$G$39&amp;" / "&amp;Anmeldung!$J$39,"")</f>
        <v/>
      </c>
      <c r="CE26" t="str">
        <f>IF(AND(32&lt;&gt;21,Anmeldung!$D$39&lt;&gt;"",Anmeldung!$G$39=Anmeldung!$G$28,Anmeldung!$J$39=Anmeldung!$J$28,(Anmeldung!$B$39&amp;": "&amp;Anmeldung!$D$39&amp;", "&amp;Anmeldung!$E$39&amp;" / "&amp;Anmeldung!$G$39&amp;" / "&amp;Anmeldung!$J$39)&lt;&gt;Anmeldung!$O$28),Anmeldung!$B$39&amp;": "&amp;Anmeldung!$D$39&amp;", "&amp;Anmeldung!$E$39&amp;" / "&amp;Anmeldung!$G$39&amp;" / "&amp;Anmeldung!$J$39,"")</f>
        <v/>
      </c>
      <c r="CF26" t="str">
        <f>IF(AND(32&lt;&gt;21,Anmeldung!$D$39&lt;&gt;"",Anmeldung!$G$39&lt;&gt;Anmeldung!$G$28,(Anmeldung!$B$39&amp;": "&amp;Anmeldung!$D$39&amp;", "&amp;Anmeldung!$E$39&amp;" / "&amp;Anmeldung!$G$39&amp;" / "&amp;Anmeldung!$J$39)&lt;&gt;Anmeldung!$S$28),Anmeldung!$B$39&amp;": "&amp;Anmeldung!$D$39&amp;", "&amp;Anmeldung!$E$39&amp;" / "&amp;Anmeldung!$G$39&amp;" / "&amp;Anmeldung!$J$39,"")</f>
        <v/>
      </c>
      <c r="CG26" t="str">
        <f>IF(AND(32&lt;&gt;21,Anmeldung!$D$39&lt;&gt;"",(Anmeldung!$B$39&amp;": "&amp;Anmeldung!$D$39&amp;", "&amp;Anmeldung!$E$39&amp;" / "&amp;Anmeldung!$G$39&amp;" / "&amp;Anmeldung!$J$39)&lt;&gt;Anmeldung!$R$28),Anmeldung!$B$39&amp;": "&amp;Anmeldung!$D$39&amp;", "&amp;Anmeldung!$E$39&amp;" / "&amp;Anmeldung!$G$39&amp;" / "&amp;Anmeldung!$J$39,"")</f>
        <v/>
      </c>
      <c r="CH26" t="str">
        <f>IF(AND(31&lt;&gt;20,Anmeldung!$D$39&lt;&gt;"",Anmeldung!$U$39="Ja",Anmeldung!$G$39=Anmeldung!$G$28,Anmeldung!$J$39=Anmeldung!$J$28),Anmeldung!$B$39&amp;": "&amp;Anmeldung!$D$39&amp;", "&amp;Anmeldung!$E$39&amp;" / "&amp;Anmeldung!$G$39&amp;" / "&amp;Anmeldung!$J$39,"")</f>
        <v/>
      </c>
      <c r="CK26" t="str">
        <f>IF(AND(32&lt;&gt;22,Anmeldung!$D$39&lt;&gt;"",Anmeldung!$G$39=Anmeldung!$G$29,Anmeldung!$J$39=Anmeldung!$J$29),Anmeldung!$B$39&amp;": "&amp;Anmeldung!$D$39&amp;", "&amp;Anmeldung!$E$39&amp;" / "&amp;Anmeldung!$G$39&amp;" / "&amp;Anmeldung!$J$39,"")</f>
        <v/>
      </c>
      <c r="CL26" t="str">
        <f>IF(AND(32&lt;&gt;22,Anmeldung!$D$39&lt;&gt;"",Anmeldung!$G$39=Anmeldung!$G$29,Anmeldung!$J$39=Anmeldung!$J$29,(Anmeldung!$B$39&amp;": "&amp;Anmeldung!$D$39&amp;", "&amp;Anmeldung!$E$39&amp;" / "&amp;Anmeldung!$G$39&amp;" / "&amp;Anmeldung!$J$39)&lt;&gt;Anmeldung!$P$29),Anmeldung!$B$39&amp;": "&amp;Anmeldung!$D$39&amp;", "&amp;Anmeldung!$E$39&amp;" / "&amp;Anmeldung!$G$39&amp;" / "&amp;Anmeldung!$J$39,"")</f>
        <v/>
      </c>
      <c r="CM26" t="str">
        <f>IF(AND(32&lt;&gt;22,Anmeldung!$D$39&lt;&gt;"",Anmeldung!$G$39=Anmeldung!$G$29,Anmeldung!$J$39=Anmeldung!$J$29,(Anmeldung!$B$39&amp;": "&amp;Anmeldung!$D$39&amp;", "&amp;Anmeldung!$E$39&amp;" / "&amp;Anmeldung!$G$39&amp;" / "&amp;Anmeldung!$J$39)&lt;&gt;Anmeldung!$O$29),Anmeldung!$B$39&amp;": "&amp;Anmeldung!$D$39&amp;", "&amp;Anmeldung!$E$39&amp;" / "&amp;Anmeldung!$G$39&amp;" / "&amp;Anmeldung!$J$39,"")</f>
        <v/>
      </c>
      <c r="CN26" t="str">
        <f>IF(AND(32&lt;&gt;22,Anmeldung!$D$39&lt;&gt;"",Anmeldung!$G$39&lt;&gt;Anmeldung!$G$29,(Anmeldung!$B$39&amp;": "&amp;Anmeldung!$D$39&amp;", "&amp;Anmeldung!$E$39&amp;" / "&amp;Anmeldung!$G$39&amp;" / "&amp;Anmeldung!$J$39)&lt;&gt;Anmeldung!$S$29),Anmeldung!$B$39&amp;": "&amp;Anmeldung!$D$39&amp;", "&amp;Anmeldung!$E$39&amp;" / "&amp;Anmeldung!$G$39&amp;" / "&amp;Anmeldung!$J$39,"")</f>
        <v/>
      </c>
      <c r="CO26" t="str">
        <f>IF(AND(32&lt;&gt;22,Anmeldung!$D$39&lt;&gt;"",(Anmeldung!$B$39&amp;": "&amp;Anmeldung!$D$39&amp;", "&amp;Anmeldung!$E$39&amp;" / "&amp;Anmeldung!$G$39&amp;" / "&amp;Anmeldung!$J$39)&lt;&gt;Anmeldung!$R$29),Anmeldung!$B$39&amp;": "&amp;Anmeldung!$D$39&amp;", "&amp;Anmeldung!$E$39&amp;" / "&amp;Anmeldung!$G$39&amp;" / "&amp;Anmeldung!$J$39,"")</f>
        <v/>
      </c>
      <c r="CP26" t="str">
        <f>IF(AND(31&lt;&gt;21,Anmeldung!$D$39&lt;&gt;"",Anmeldung!$U$39="Ja",Anmeldung!$G$39=Anmeldung!$G$29,Anmeldung!$J$39=Anmeldung!$J$29),Anmeldung!$B$39&amp;": "&amp;Anmeldung!$D$39&amp;", "&amp;Anmeldung!$E$39&amp;" / "&amp;Anmeldung!$G$39&amp;" / "&amp;Anmeldung!$J$39,"")</f>
        <v/>
      </c>
      <c r="CS26" t="str">
        <f>IF(AND(32&lt;&gt;23,Anmeldung!$D$39&lt;&gt;"",Anmeldung!$G$39=Anmeldung!$G$30,Anmeldung!$J$39=Anmeldung!$J$30),Anmeldung!$B$39&amp;": "&amp;Anmeldung!$D$39&amp;", "&amp;Anmeldung!$E$39&amp;" / "&amp;Anmeldung!$G$39&amp;" / "&amp;Anmeldung!$J$39,"")</f>
        <v/>
      </c>
      <c r="CT26" t="str">
        <f>IF(AND(32&lt;&gt;23,Anmeldung!$D$39&lt;&gt;"",Anmeldung!$G$39=Anmeldung!$G$30,Anmeldung!$J$39=Anmeldung!$J$30,(Anmeldung!$B$39&amp;": "&amp;Anmeldung!$D$39&amp;", "&amp;Anmeldung!$E$39&amp;" / "&amp;Anmeldung!$G$39&amp;" / "&amp;Anmeldung!$J$39)&lt;&gt;Anmeldung!$P$30),Anmeldung!$B$39&amp;": "&amp;Anmeldung!$D$39&amp;", "&amp;Anmeldung!$E$39&amp;" / "&amp;Anmeldung!$G$39&amp;" / "&amp;Anmeldung!$J$39,"")</f>
        <v/>
      </c>
      <c r="CU26" t="str">
        <f>IF(AND(32&lt;&gt;23,Anmeldung!$D$39&lt;&gt;"",Anmeldung!$G$39=Anmeldung!$G$30,Anmeldung!$J$39=Anmeldung!$J$30,(Anmeldung!$B$39&amp;": "&amp;Anmeldung!$D$39&amp;", "&amp;Anmeldung!$E$39&amp;" / "&amp;Anmeldung!$G$39&amp;" / "&amp;Anmeldung!$J$39)&lt;&gt;Anmeldung!$O$30),Anmeldung!$B$39&amp;": "&amp;Anmeldung!$D$39&amp;", "&amp;Anmeldung!$E$39&amp;" / "&amp;Anmeldung!$G$39&amp;" / "&amp;Anmeldung!$J$39,"")</f>
        <v/>
      </c>
      <c r="CV26" t="str">
        <f>IF(AND(32&lt;&gt;23,Anmeldung!$D$39&lt;&gt;"",Anmeldung!$G$39&lt;&gt;Anmeldung!$G$30,(Anmeldung!$B$39&amp;": "&amp;Anmeldung!$D$39&amp;", "&amp;Anmeldung!$E$39&amp;" / "&amp;Anmeldung!$G$39&amp;" / "&amp;Anmeldung!$J$39)&lt;&gt;Anmeldung!$S$30),Anmeldung!$B$39&amp;": "&amp;Anmeldung!$D$39&amp;", "&amp;Anmeldung!$E$39&amp;" / "&amp;Anmeldung!$G$39&amp;" / "&amp;Anmeldung!$J$39,"")</f>
        <v/>
      </c>
      <c r="CW26" t="str">
        <f>IF(AND(32&lt;&gt;23,Anmeldung!$D$39&lt;&gt;"",(Anmeldung!$B$39&amp;": "&amp;Anmeldung!$D$39&amp;", "&amp;Anmeldung!$E$39&amp;" / "&amp;Anmeldung!$G$39&amp;" / "&amp;Anmeldung!$J$39)&lt;&gt;Anmeldung!$R$30),Anmeldung!$B$39&amp;": "&amp;Anmeldung!$D$39&amp;", "&amp;Anmeldung!$E$39&amp;" / "&amp;Anmeldung!$G$39&amp;" / "&amp;Anmeldung!$J$39,"")</f>
        <v/>
      </c>
      <c r="CX26" t="str">
        <f>IF(AND(31&lt;&gt;22,Anmeldung!$D$39&lt;&gt;"",Anmeldung!$U$39="Ja",Anmeldung!$G$39=Anmeldung!$G$30,Anmeldung!$J$39=Anmeldung!$J$30),Anmeldung!$B$39&amp;": "&amp;Anmeldung!$D$39&amp;", "&amp;Anmeldung!$E$39&amp;" / "&amp;Anmeldung!$G$39&amp;" / "&amp;Anmeldung!$J$39,"")</f>
        <v/>
      </c>
      <c r="DA26" t="str">
        <f>IF(AND(32&lt;&gt;24,Anmeldung!$D$39&lt;&gt;"",Anmeldung!$G$39=Anmeldung!$G$31,Anmeldung!$J$39=Anmeldung!$J$31),Anmeldung!$B$39&amp;": "&amp;Anmeldung!$D$39&amp;", "&amp;Anmeldung!$E$39&amp;" / "&amp;Anmeldung!$G$39&amp;" / "&amp;Anmeldung!$J$39,"")</f>
        <v/>
      </c>
      <c r="DB26" t="str">
        <f>IF(AND(32&lt;&gt;24,Anmeldung!$D$39&lt;&gt;"",Anmeldung!$G$39=Anmeldung!$G$31,Anmeldung!$J$39=Anmeldung!$J$31,(Anmeldung!$B$39&amp;": "&amp;Anmeldung!$D$39&amp;", "&amp;Anmeldung!$E$39&amp;" / "&amp;Anmeldung!$G$39&amp;" / "&amp;Anmeldung!$J$39)&lt;&gt;Anmeldung!$P$31),Anmeldung!$B$39&amp;": "&amp;Anmeldung!$D$39&amp;", "&amp;Anmeldung!$E$39&amp;" / "&amp;Anmeldung!$G$39&amp;" / "&amp;Anmeldung!$J$39,"")</f>
        <v/>
      </c>
      <c r="DC26" t="str">
        <f>IF(AND(32&lt;&gt;24,Anmeldung!$D$39&lt;&gt;"",Anmeldung!$G$39=Anmeldung!$G$31,Anmeldung!$J$39=Anmeldung!$J$31,(Anmeldung!$B$39&amp;": "&amp;Anmeldung!$D$39&amp;", "&amp;Anmeldung!$E$39&amp;" / "&amp;Anmeldung!$G$39&amp;" / "&amp;Anmeldung!$J$39)&lt;&gt;Anmeldung!$O$31),Anmeldung!$B$39&amp;": "&amp;Anmeldung!$D$39&amp;", "&amp;Anmeldung!$E$39&amp;" / "&amp;Anmeldung!$G$39&amp;" / "&amp;Anmeldung!$J$39,"")</f>
        <v/>
      </c>
      <c r="DD26" t="str">
        <f>IF(AND(32&lt;&gt;24,Anmeldung!$D$39&lt;&gt;"",Anmeldung!$G$39&lt;&gt;Anmeldung!$G$31,(Anmeldung!$B$39&amp;": "&amp;Anmeldung!$D$39&amp;", "&amp;Anmeldung!$E$39&amp;" / "&amp;Anmeldung!$G$39&amp;" / "&amp;Anmeldung!$J$39)&lt;&gt;Anmeldung!$S$31),Anmeldung!$B$39&amp;": "&amp;Anmeldung!$D$39&amp;", "&amp;Anmeldung!$E$39&amp;" / "&amp;Anmeldung!$G$39&amp;" / "&amp;Anmeldung!$J$39,"")</f>
        <v/>
      </c>
      <c r="DE26" t="str">
        <f>IF(AND(32&lt;&gt;24,Anmeldung!$D$39&lt;&gt;"",(Anmeldung!$B$39&amp;": "&amp;Anmeldung!$D$39&amp;", "&amp;Anmeldung!$E$39&amp;" / "&amp;Anmeldung!$G$39&amp;" / "&amp;Anmeldung!$J$39)&lt;&gt;Anmeldung!$R$31),Anmeldung!$B$39&amp;": "&amp;Anmeldung!$D$39&amp;", "&amp;Anmeldung!$E$39&amp;" / "&amp;Anmeldung!$G$39&amp;" / "&amp;Anmeldung!$J$39,"")</f>
        <v/>
      </c>
      <c r="DF26" t="str">
        <f>IF(AND(31&lt;&gt;23,Anmeldung!$D$39&lt;&gt;"",Anmeldung!$U$39="Ja",Anmeldung!$G$39=Anmeldung!$G$31,Anmeldung!$J$39=Anmeldung!$J$31),Anmeldung!$B$39&amp;": "&amp;Anmeldung!$D$39&amp;", "&amp;Anmeldung!$E$39&amp;" / "&amp;Anmeldung!$G$39&amp;" / "&amp;Anmeldung!$J$39,"")</f>
        <v/>
      </c>
      <c r="DI26" t="str">
        <f>IF(AND(32&lt;&gt;25,Anmeldung!$D$39&lt;&gt;"",Anmeldung!$G$39=Anmeldung!$G$32,Anmeldung!$J$39=Anmeldung!$J$32),Anmeldung!$B$39&amp;": "&amp;Anmeldung!$D$39&amp;", "&amp;Anmeldung!$E$39&amp;" / "&amp;Anmeldung!$G$39&amp;" / "&amp;Anmeldung!$J$39,"")</f>
        <v/>
      </c>
      <c r="DJ26" t="str">
        <f>IF(AND(32&lt;&gt;25,Anmeldung!$D$39&lt;&gt;"",Anmeldung!$G$39=Anmeldung!$G$32,Anmeldung!$J$39=Anmeldung!$J$32,(Anmeldung!$B$39&amp;": "&amp;Anmeldung!$D$39&amp;", "&amp;Anmeldung!$E$39&amp;" / "&amp;Anmeldung!$G$39&amp;" / "&amp;Anmeldung!$J$39)&lt;&gt;Anmeldung!$P$32),Anmeldung!$B$39&amp;": "&amp;Anmeldung!$D$39&amp;", "&amp;Anmeldung!$E$39&amp;" / "&amp;Anmeldung!$G$39&amp;" / "&amp;Anmeldung!$J$39,"")</f>
        <v/>
      </c>
      <c r="DK26" t="str">
        <f>IF(AND(32&lt;&gt;25,Anmeldung!$D$39&lt;&gt;"",Anmeldung!$G$39=Anmeldung!$G$32,Anmeldung!$J$39=Anmeldung!$J$32,(Anmeldung!$B$39&amp;": "&amp;Anmeldung!$D$39&amp;", "&amp;Anmeldung!$E$39&amp;" / "&amp;Anmeldung!$G$39&amp;" / "&amp;Anmeldung!$J$39)&lt;&gt;Anmeldung!$O$32),Anmeldung!$B$39&amp;": "&amp;Anmeldung!$D$39&amp;", "&amp;Anmeldung!$E$39&amp;" / "&amp;Anmeldung!$G$39&amp;" / "&amp;Anmeldung!$J$39,"")</f>
        <v/>
      </c>
      <c r="DL26" t="str">
        <f>IF(AND(32&lt;&gt;25,Anmeldung!$D$39&lt;&gt;"",Anmeldung!$G$39&lt;&gt;Anmeldung!$G$32,(Anmeldung!$B$39&amp;": "&amp;Anmeldung!$D$39&amp;", "&amp;Anmeldung!$E$39&amp;" / "&amp;Anmeldung!$G$39&amp;" / "&amp;Anmeldung!$J$39)&lt;&gt;Anmeldung!$S$32),Anmeldung!$B$39&amp;": "&amp;Anmeldung!$D$39&amp;", "&amp;Anmeldung!$E$39&amp;" / "&amp;Anmeldung!$G$39&amp;" / "&amp;Anmeldung!$J$39,"")</f>
        <v/>
      </c>
      <c r="DM26" t="str">
        <f>IF(AND(32&lt;&gt;25,Anmeldung!$D$39&lt;&gt;"",(Anmeldung!$B$39&amp;": "&amp;Anmeldung!$D$39&amp;", "&amp;Anmeldung!$E$39&amp;" / "&amp;Anmeldung!$G$39&amp;" / "&amp;Anmeldung!$J$39)&lt;&gt;Anmeldung!$R$32),Anmeldung!$B$39&amp;": "&amp;Anmeldung!$D$39&amp;", "&amp;Anmeldung!$E$39&amp;" / "&amp;Anmeldung!$G$39&amp;" / "&amp;Anmeldung!$J$39,"")</f>
        <v/>
      </c>
      <c r="DN26" t="str">
        <f>IF(AND(31&lt;&gt;24,Anmeldung!$D$39&lt;&gt;"",Anmeldung!$U$39="Ja",Anmeldung!$G$39=Anmeldung!$G$32,Anmeldung!$J$39=Anmeldung!$J$32),Anmeldung!$B$39&amp;": "&amp;Anmeldung!$D$39&amp;", "&amp;Anmeldung!$E$39&amp;" / "&amp;Anmeldung!$G$39&amp;" / "&amp;Anmeldung!$J$39,"")</f>
        <v/>
      </c>
      <c r="DQ26" t="str">
        <f>IF(AND(32&lt;&gt;26,Anmeldung!$D$39&lt;&gt;"",Anmeldung!$G$39=Anmeldung!$G$33,Anmeldung!$J$39=Anmeldung!$J$33),Anmeldung!$B$39&amp;": "&amp;Anmeldung!$D$39&amp;", "&amp;Anmeldung!$E$39&amp;" / "&amp;Anmeldung!$G$39&amp;" / "&amp;Anmeldung!$J$39,"")</f>
        <v/>
      </c>
      <c r="DR26" t="str">
        <f>IF(AND(32&lt;&gt;26,Anmeldung!$D$39&lt;&gt;"",Anmeldung!$G$39=Anmeldung!$G$33,Anmeldung!$J$39=Anmeldung!$J$33,(Anmeldung!$B$39&amp;": "&amp;Anmeldung!$D$39&amp;", "&amp;Anmeldung!$E$39&amp;" / "&amp;Anmeldung!$G$39&amp;" / "&amp;Anmeldung!$J$39)&lt;&gt;Anmeldung!$P$33),Anmeldung!$B$39&amp;": "&amp;Anmeldung!$D$39&amp;", "&amp;Anmeldung!$E$39&amp;" / "&amp;Anmeldung!$G$39&amp;" / "&amp;Anmeldung!$J$39,"")</f>
        <v/>
      </c>
      <c r="DS26" t="str">
        <f>IF(AND(32&lt;&gt;26,Anmeldung!$D$39&lt;&gt;"",Anmeldung!$G$39=Anmeldung!$G$33,Anmeldung!$J$39=Anmeldung!$J$33,(Anmeldung!$B$39&amp;": "&amp;Anmeldung!$D$39&amp;", "&amp;Anmeldung!$E$39&amp;" / "&amp;Anmeldung!$G$39&amp;" / "&amp;Anmeldung!$J$39)&lt;&gt;Anmeldung!$O$33),Anmeldung!$B$39&amp;": "&amp;Anmeldung!$D$39&amp;", "&amp;Anmeldung!$E$39&amp;" / "&amp;Anmeldung!$G$39&amp;" / "&amp;Anmeldung!$J$39,"")</f>
        <v/>
      </c>
      <c r="DT26" t="str">
        <f>IF(AND(32&lt;&gt;26,Anmeldung!$D$39&lt;&gt;"",Anmeldung!$G$39&lt;&gt;Anmeldung!$G$33,(Anmeldung!$B$39&amp;": "&amp;Anmeldung!$D$39&amp;", "&amp;Anmeldung!$E$39&amp;" / "&amp;Anmeldung!$G$39&amp;" / "&amp;Anmeldung!$J$39)&lt;&gt;Anmeldung!$S$33),Anmeldung!$B$39&amp;": "&amp;Anmeldung!$D$39&amp;", "&amp;Anmeldung!$E$39&amp;" / "&amp;Anmeldung!$G$39&amp;" / "&amp;Anmeldung!$J$39,"")</f>
        <v/>
      </c>
      <c r="DU26" t="str">
        <f>IF(AND(32&lt;&gt;26,Anmeldung!$D$39&lt;&gt;"",(Anmeldung!$B$39&amp;": "&amp;Anmeldung!$D$39&amp;", "&amp;Anmeldung!$E$39&amp;" / "&amp;Anmeldung!$G$39&amp;" / "&amp;Anmeldung!$J$39)&lt;&gt;Anmeldung!$R$33),Anmeldung!$B$39&amp;": "&amp;Anmeldung!$D$39&amp;", "&amp;Anmeldung!$E$39&amp;" / "&amp;Anmeldung!$G$39&amp;" / "&amp;Anmeldung!$J$39,"")</f>
        <v/>
      </c>
      <c r="DV26" t="str">
        <f>IF(AND(31&lt;&gt;25,Anmeldung!$D$39&lt;&gt;"",Anmeldung!$U$39="Ja",Anmeldung!$G$39=Anmeldung!$G$33,Anmeldung!$J$39=Anmeldung!$J$33),Anmeldung!$B$39&amp;": "&amp;Anmeldung!$D$39&amp;", "&amp;Anmeldung!$E$39&amp;" / "&amp;Anmeldung!$G$39&amp;" / "&amp;Anmeldung!$J$39,"")</f>
        <v/>
      </c>
      <c r="DY26" t="str">
        <f>IF(AND(32&lt;&gt;27,Anmeldung!$D$39&lt;&gt;"",Anmeldung!$G$39=Anmeldung!$G$34,Anmeldung!$J$39=Anmeldung!$J$34),Anmeldung!$B$39&amp;": "&amp;Anmeldung!$D$39&amp;", "&amp;Anmeldung!$E$39&amp;" / "&amp;Anmeldung!$G$39&amp;" / "&amp;Anmeldung!$J$39,"")</f>
        <v/>
      </c>
      <c r="DZ26" t="str">
        <f>IF(AND(32&lt;&gt;27,Anmeldung!$D$39&lt;&gt;"",Anmeldung!$G$39=Anmeldung!$G$34,Anmeldung!$J$39=Anmeldung!$J$34,(Anmeldung!$B$39&amp;": "&amp;Anmeldung!$D$39&amp;", "&amp;Anmeldung!$E$39&amp;" / "&amp;Anmeldung!$G$39&amp;" / "&amp;Anmeldung!$J$39)&lt;&gt;Anmeldung!$P$34),Anmeldung!$B$39&amp;": "&amp;Anmeldung!$D$39&amp;", "&amp;Anmeldung!$E$39&amp;" / "&amp;Anmeldung!$G$39&amp;" / "&amp;Anmeldung!$J$39,"")</f>
        <v/>
      </c>
      <c r="EA26" t="str">
        <f>IF(AND(32&lt;&gt;27,Anmeldung!$D$39&lt;&gt;"",Anmeldung!$G$39=Anmeldung!$G$34,Anmeldung!$J$39=Anmeldung!$J$34,(Anmeldung!$B$39&amp;": "&amp;Anmeldung!$D$39&amp;", "&amp;Anmeldung!$E$39&amp;" / "&amp;Anmeldung!$G$39&amp;" / "&amp;Anmeldung!$J$39)&lt;&gt;Anmeldung!$O$34),Anmeldung!$B$39&amp;": "&amp;Anmeldung!$D$39&amp;", "&amp;Anmeldung!$E$39&amp;" / "&amp;Anmeldung!$G$39&amp;" / "&amp;Anmeldung!$J$39,"")</f>
        <v/>
      </c>
      <c r="EB26" t="str">
        <f>IF(AND(32&lt;&gt;27,Anmeldung!$D$39&lt;&gt;"",Anmeldung!$G$39&lt;&gt;Anmeldung!$G$34,(Anmeldung!$B$39&amp;": "&amp;Anmeldung!$D$39&amp;", "&amp;Anmeldung!$E$39&amp;" / "&amp;Anmeldung!$G$39&amp;" / "&amp;Anmeldung!$J$39)&lt;&gt;Anmeldung!$S$34),Anmeldung!$B$39&amp;": "&amp;Anmeldung!$D$39&amp;", "&amp;Anmeldung!$E$39&amp;" / "&amp;Anmeldung!$G$39&amp;" / "&amp;Anmeldung!$J$39,"")</f>
        <v/>
      </c>
      <c r="EC26" t="str">
        <f>IF(AND(32&lt;&gt;27,Anmeldung!$D$39&lt;&gt;"",(Anmeldung!$B$39&amp;": "&amp;Anmeldung!$D$39&amp;", "&amp;Anmeldung!$E$39&amp;" / "&amp;Anmeldung!$G$39&amp;" / "&amp;Anmeldung!$J$39)&lt;&gt;Anmeldung!$R$34),Anmeldung!$B$39&amp;": "&amp;Anmeldung!$D$39&amp;", "&amp;Anmeldung!$E$39&amp;" / "&amp;Anmeldung!$G$39&amp;" / "&amp;Anmeldung!$J$39,"")</f>
        <v/>
      </c>
      <c r="ED26" t="str">
        <f>IF(AND(31&lt;&gt;26,Anmeldung!$D$39&lt;&gt;"",Anmeldung!$U$39="Ja",Anmeldung!$G$39=Anmeldung!$G$34,Anmeldung!$J$39=Anmeldung!$J$34),Anmeldung!$B$39&amp;": "&amp;Anmeldung!$D$39&amp;", "&amp;Anmeldung!$E$39&amp;" / "&amp;Anmeldung!$G$39&amp;" / "&amp;Anmeldung!$J$39,"")</f>
        <v/>
      </c>
      <c r="EG26" t="str">
        <f>IF(AND(32&lt;&gt;28,Anmeldung!$D$39&lt;&gt;"",Anmeldung!$G$39=Anmeldung!$G$35,Anmeldung!$J$39=Anmeldung!$J$35),Anmeldung!$B$39&amp;": "&amp;Anmeldung!$D$39&amp;", "&amp;Anmeldung!$E$39&amp;" / "&amp;Anmeldung!$G$39&amp;" / "&amp;Anmeldung!$J$39,"")</f>
        <v/>
      </c>
      <c r="EH26" t="str">
        <f>IF(AND(32&lt;&gt;28,Anmeldung!$D$39&lt;&gt;"",Anmeldung!$G$39=Anmeldung!$G$35,Anmeldung!$J$39=Anmeldung!$J$35,(Anmeldung!$B$39&amp;": "&amp;Anmeldung!$D$39&amp;", "&amp;Anmeldung!$E$39&amp;" / "&amp;Anmeldung!$G$39&amp;" / "&amp;Anmeldung!$J$39)&lt;&gt;Anmeldung!$P$35),Anmeldung!$B$39&amp;": "&amp;Anmeldung!$D$39&amp;", "&amp;Anmeldung!$E$39&amp;" / "&amp;Anmeldung!$G$39&amp;" / "&amp;Anmeldung!$J$39,"")</f>
        <v/>
      </c>
      <c r="EI26" t="str">
        <f>IF(AND(32&lt;&gt;28,Anmeldung!$D$39&lt;&gt;"",Anmeldung!$G$39=Anmeldung!$G$35,Anmeldung!$J$39=Anmeldung!$J$35,(Anmeldung!$B$39&amp;": "&amp;Anmeldung!$D$39&amp;", "&amp;Anmeldung!$E$39&amp;" / "&amp;Anmeldung!$G$39&amp;" / "&amp;Anmeldung!$J$39)&lt;&gt;Anmeldung!$O$35),Anmeldung!$B$39&amp;": "&amp;Anmeldung!$D$39&amp;", "&amp;Anmeldung!$E$39&amp;" / "&amp;Anmeldung!$G$39&amp;" / "&amp;Anmeldung!$J$39,"")</f>
        <v/>
      </c>
      <c r="EJ26" t="str">
        <f>IF(AND(32&lt;&gt;28,Anmeldung!$D$39&lt;&gt;"",Anmeldung!$G$39&lt;&gt;Anmeldung!$G$35,(Anmeldung!$B$39&amp;": "&amp;Anmeldung!$D$39&amp;", "&amp;Anmeldung!$E$39&amp;" / "&amp;Anmeldung!$G$39&amp;" / "&amp;Anmeldung!$J$39)&lt;&gt;Anmeldung!$S$35),Anmeldung!$B$39&amp;": "&amp;Anmeldung!$D$39&amp;", "&amp;Anmeldung!$E$39&amp;" / "&amp;Anmeldung!$G$39&amp;" / "&amp;Anmeldung!$J$39,"")</f>
        <v/>
      </c>
      <c r="EK26" t="str">
        <f>IF(AND(32&lt;&gt;28,Anmeldung!$D$39&lt;&gt;"",(Anmeldung!$B$39&amp;": "&amp;Anmeldung!$D$39&amp;", "&amp;Anmeldung!$E$39&amp;" / "&amp;Anmeldung!$G$39&amp;" / "&amp;Anmeldung!$J$39)&lt;&gt;Anmeldung!$R$35),Anmeldung!$B$39&amp;": "&amp;Anmeldung!$D$39&amp;", "&amp;Anmeldung!$E$39&amp;" / "&amp;Anmeldung!$G$39&amp;" / "&amp;Anmeldung!$J$39,"")</f>
        <v/>
      </c>
      <c r="EL26" t="str">
        <f>IF(AND(31&lt;&gt;27,Anmeldung!$D$39&lt;&gt;"",Anmeldung!$U$39="Ja",Anmeldung!$G$39=Anmeldung!$G$35,Anmeldung!$J$39=Anmeldung!$J$35),Anmeldung!$B$39&amp;": "&amp;Anmeldung!$D$39&amp;", "&amp;Anmeldung!$E$39&amp;" / "&amp;Anmeldung!$G$39&amp;" / "&amp;Anmeldung!$J$39,"")</f>
        <v/>
      </c>
      <c r="EO26" t="str">
        <f>IF(AND(32&lt;&gt;29,Anmeldung!$D$39&lt;&gt;"",Anmeldung!$G$39=Anmeldung!$G$36,Anmeldung!$J$39=Anmeldung!$J$36),Anmeldung!$B$39&amp;": "&amp;Anmeldung!$D$39&amp;", "&amp;Anmeldung!$E$39&amp;" / "&amp;Anmeldung!$G$39&amp;" / "&amp;Anmeldung!$J$39,"")</f>
        <v/>
      </c>
      <c r="EP26" t="str">
        <f>IF(AND(32&lt;&gt;29,Anmeldung!$D$39&lt;&gt;"",Anmeldung!$G$39=Anmeldung!$G$36,Anmeldung!$J$39=Anmeldung!$J$36,(Anmeldung!$B$39&amp;": "&amp;Anmeldung!$D$39&amp;", "&amp;Anmeldung!$E$39&amp;" / "&amp;Anmeldung!$G$39&amp;" / "&amp;Anmeldung!$J$39)&lt;&gt;Anmeldung!$P$36),Anmeldung!$B$39&amp;": "&amp;Anmeldung!$D$39&amp;", "&amp;Anmeldung!$E$39&amp;" / "&amp;Anmeldung!$G$39&amp;" / "&amp;Anmeldung!$J$39,"")</f>
        <v/>
      </c>
      <c r="EQ26" t="str">
        <f>IF(AND(32&lt;&gt;29,Anmeldung!$D$39&lt;&gt;"",Anmeldung!$G$39=Anmeldung!$G$36,Anmeldung!$J$39=Anmeldung!$J$36,(Anmeldung!$B$39&amp;": "&amp;Anmeldung!$D$39&amp;", "&amp;Anmeldung!$E$39&amp;" / "&amp;Anmeldung!$G$39&amp;" / "&amp;Anmeldung!$J$39)&lt;&gt;Anmeldung!$O$36),Anmeldung!$B$39&amp;": "&amp;Anmeldung!$D$39&amp;", "&amp;Anmeldung!$E$39&amp;" / "&amp;Anmeldung!$G$39&amp;" / "&amp;Anmeldung!$J$39,"")</f>
        <v/>
      </c>
      <c r="ER26" t="str">
        <f>IF(AND(32&lt;&gt;29,Anmeldung!$D$39&lt;&gt;"",Anmeldung!$G$39&lt;&gt;Anmeldung!$G$36,(Anmeldung!$B$39&amp;": "&amp;Anmeldung!$D$39&amp;", "&amp;Anmeldung!$E$39&amp;" / "&amp;Anmeldung!$G$39&amp;" / "&amp;Anmeldung!$J$39)&lt;&gt;Anmeldung!$S$36),Anmeldung!$B$39&amp;": "&amp;Anmeldung!$D$39&amp;", "&amp;Anmeldung!$E$39&amp;" / "&amp;Anmeldung!$G$39&amp;" / "&amp;Anmeldung!$J$39,"")</f>
        <v/>
      </c>
      <c r="ES26" t="str">
        <f>IF(AND(32&lt;&gt;29,Anmeldung!$D$39&lt;&gt;"",(Anmeldung!$B$39&amp;": "&amp;Anmeldung!$D$39&amp;", "&amp;Anmeldung!$E$39&amp;" / "&amp;Anmeldung!$G$39&amp;" / "&amp;Anmeldung!$J$39)&lt;&gt;Anmeldung!$R$36),Anmeldung!$B$39&amp;": "&amp;Anmeldung!$D$39&amp;", "&amp;Anmeldung!$E$39&amp;" / "&amp;Anmeldung!$G$39&amp;" / "&amp;Anmeldung!$J$39,"")</f>
        <v/>
      </c>
      <c r="ET26" t="str">
        <f>IF(AND(31&lt;&gt;28,Anmeldung!$D$39&lt;&gt;"",Anmeldung!$U$39="Ja",Anmeldung!$G$39=Anmeldung!$G$36,Anmeldung!$J$39=Anmeldung!$J$36),Anmeldung!$B$39&amp;": "&amp;Anmeldung!$D$39&amp;", "&amp;Anmeldung!$E$39&amp;" / "&amp;Anmeldung!$G$39&amp;" / "&amp;Anmeldung!$J$39,"")</f>
        <v/>
      </c>
      <c r="EW26" t="str">
        <f>IF(AND(32&lt;&gt;30,Anmeldung!$D$39&lt;&gt;"",Anmeldung!$G$39=Anmeldung!$G$37,Anmeldung!$J$39=Anmeldung!$J$37),Anmeldung!$B$39&amp;": "&amp;Anmeldung!$D$39&amp;", "&amp;Anmeldung!$E$39&amp;" / "&amp;Anmeldung!$G$39&amp;" / "&amp;Anmeldung!$J$39,"")</f>
        <v/>
      </c>
      <c r="EX26" t="str">
        <f>IF(AND(32&lt;&gt;30,Anmeldung!$D$39&lt;&gt;"",Anmeldung!$G$39=Anmeldung!$G$37,Anmeldung!$J$39=Anmeldung!$J$37,(Anmeldung!$B$39&amp;": "&amp;Anmeldung!$D$39&amp;", "&amp;Anmeldung!$E$39&amp;" / "&amp;Anmeldung!$G$39&amp;" / "&amp;Anmeldung!$J$39)&lt;&gt;Anmeldung!$P$37),Anmeldung!$B$39&amp;": "&amp;Anmeldung!$D$39&amp;", "&amp;Anmeldung!$E$39&amp;" / "&amp;Anmeldung!$G$39&amp;" / "&amp;Anmeldung!$J$39,"")</f>
        <v/>
      </c>
      <c r="EY26" t="str">
        <f>IF(AND(32&lt;&gt;30,Anmeldung!$D$39&lt;&gt;"",Anmeldung!$G$39=Anmeldung!$G$37,Anmeldung!$J$39=Anmeldung!$J$37,(Anmeldung!$B$39&amp;": "&amp;Anmeldung!$D$39&amp;", "&amp;Anmeldung!$E$39&amp;" / "&amp;Anmeldung!$G$39&amp;" / "&amp;Anmeldung!$J$39)&lt;&gt;Anmeldung!$O$37),Anmeldung!$B$39&amp;": "&amp;Anmeldung!$D$39&amp;", "&amp;Anmeldung!$E$39&amp;" / "&amp;Anmeldung!$G$39&amp;" / "&amp;Anmeldung!$J$39,"")</f>
        <v/>
      </c>
      <c r="EZ26" t="str">
        <f>IF(AND(32&lt;&gt;30,Anmeldung!$D$39&lt;&gt;"",Anmeldung!$G$39&lt;&gt;Anmeldung!$G$37,(Anmeldung!$B$39&amp;": "&amp;Anmeldung!$D$39&amp;", "&amp;Anmeldung!$E$39&amp;" / "&amp;Anmeldung!$G$39&amp;" / "&amp;Anmeldung!$J$39)&lt;&gt;Anmeldung!$S$37),Anmeldung!$B$39&amp;": "&amp;Anmeldung!$D$39&amp;", "&amp;Anmeldung!$E$39&amp;" / "&amp;Anmeldung!$G$39&amp;" / "&amp;Anmeldung!$J$39,"")</f>
        <v/>
      </c>
      <c r="FA26" t="str">
        <f>IF(AND(32&lt;&gt;30,Anmeldung!$D$39&lt;&gt;"",(Anmeldung!$B$39&amp;": "&amp;Anmeldung!$D$39&amp;", "&amp;Anmeldung!$E$39&amp;" / "&amp;Anmeldung!$G$39&amp;" / "&amp;Anmeldung!$J$39)&lt;&gt;Anmeldung!$R$37),Anmeldung!$B$39&amp;": "&amp;Anmeldung!$D$39&amp;", "&amp;Anmeldung!$E$39&amp;" / "&amp;Anmeldung!$G$39&amp;" / "&amp;Anmeldung!$J$39,"")</f>
        <v/>
      </c>
      <c r="FB26" t="str">
        <f>IF(AND(31&lt;&gt;29,Anmeldung!$D$39&lt;&gt;"",Anmeldung!$U$39="Ja",Anmeldung!$G$39=Anmeldung!$G$37,Anmeldung!$J$39=Anmeldung!$J$37),Anmeldung!$B$39&amp;": "&amp;Anmeldung!$D$39&amp;", "&amp;Anmeldung!$E$39&amp;" / "&amp;Anmeldung!$G$39&amp;" / "&amp;Anmeldung!$J$39,"")</f>
        <v/>
      </c>
      <c r="FE26" t="str">
        <f>IF(AND(32&lt;&gt;31,Anmeldung!$D$39&lt;&gt;"",Anmeldung!$G$39=Anmeldung!$G$38,Anmeldung!$J$39=Anmeldung!$J$38),Anmeldung!$B$39&amp;": "&amp;Anmeldung!$D$39&amp;", "&amp;Anmeldung!$E$39&amp;" / "&amp;Anmeldung!$G$39&amp;" / "&amp;Anmeldung!$J$39,"")</f>
        <v/>
      </c>
      <c r="FF26" t="str">
        <f>IF(AND(32&lt;&gt;31,Anmeldung!$D$39&lt;&gt;"",Anmeldung!$G$39=Anmeldung!$G$38,Anmeldung!$J$39=Anmeldung!$J$38,(Anmeldung!$B$39&amp;": "&amp;Anmeldung!$D$39&amp;", "&amp;Anmeldung!$E$39&amp;" / "&amp;Anmeldung!$G$39&amp;" / "&amp;Anmeldung!$J$39)&lt;&gt;Anmeldung!$P$38),Anmeldung!$B$39&amp;": "&amp;Anmeldung!$D$39&amp;", "&amp;Anmeldung!$E$39&amp;" / "&amp;Anmeldung!$G$39&amp;" / "&amp;Anmeldung!$J$39,"")</f>
        <v/>
      </c>
      <c r="FG26" t="str">
        <f>IF(AND(32&lt;&gt;31,Anmeldung!$D$39&lt;&gt;"",Anmeldung!$G$39=Anmeldung!$G$38,Anmeldung!$J$39=Anmeldung!$J$38,(Anmeldung!$B$39&amp;": "&amp;Anmeldung!$D$39&amp;", "&amp;Anmeldung!$E$39&amp;" / "&amp;Anmeldung!$G$39&amp;" / "&amp;Anmeldung!$J$39)&lt;&gt;Anmeldung!$O$38),Anmeldung!$B$39&amp;": "&amp;Anmeldung!$D$39&amp;", "&amp;Anmeldung!$E$39&amp;" / "&amp;Anmeldung!$G$39&amp;" / "&amp;Anmeldung!$J$39,"")</f>
        <v/>
      </c>
      <c r="FH26" t="str">
        <f>IF(AND(32&lt;&gt;31,Anmeldung!$D$39&lt;&gt;"",Anmeldung!$G$39&lt;&gt;Anmeldung!$G$38,(Anmeldung!$B$39&amp;": "&amp;Anmeldung!$D$39&amp;", "&amp;Anmeldung!$E$39&amp;" / "&amp;Anmeldung!$G$39&amp;" / "&amp;Anmeldung!$J$39)&lt;&gt;Anmeldung!$S$38),Anmeldung!$B$39&amp;": "&amp;Anmeldung!$D$39&amp;", "&amp;Anmeldung!$E$39&amp;" / "&amp;Anmeldung!$G$39&amp;" / "&amp;Anmeldung!$J$39,"")</f>
        <v/>
      </c>
      <c r="FI26" t="str">
        <f>IF(AND(32&lt;&gt;31,Anmeldung!$D$39&lt;&gt;"",(Anmeldung!$B$39&amp;": "&amp;Anmeldung!$D$39&amp;", "&amp;Anmeldung!$E$39&amp;" / "&amp;Anmeldung!$G$39&amp;" / "&amp;Anmeldung!$J$39)&lt;&gt;Anmeldung!$R$38),Anmeldung!$B$39&amp;": "&amp;Anmeldung!$D$39&amp;", "&amp;Anmeldung!$E$39&amp;" / "&amp;Anmeldung!$G$39&amp;" / "&amp;Anmeldung!$J$39,"")</f>
        <v/>
      </c>
      <c r="FJ26" t="str">
        <f>IF(AND(31&lt;&gt;30,Anmeldung!$D$39&lt;&gt;"",Anmeldung!$U$39="Ja",Anmeldung!$G$39=Anmeldung!$G$38,Anmeldung!$J$39=Anmeldung!$J$38),Anmeldung!$B$39&amp;": "&amp;Anmeldung!$D$39&amp;", "&amp;Anmeldung!$E$39&amp;" / "&amp;Anmeldung!$G$39&amp;" / "&amp;Anmeldung!$J$39,"")</f>
        <v/>
      </c>
      <c r="FM26" t="str">
        <f>IF(AND(32&lt;&gt;32,Anmeldung!$D$39&lt;&gt;"",Anmeldung!$G$39=Anmeldung!$G$39,Anmeldung!$J$39=Anmeldung!$J$39),Anmeldung!$B$39&amp;": "&amp;Anmeldung!$D$39&amp;", "&amp;Anmeldung!$E$39&amp;" / "&amp;Anmeldung!$G$39&amp;" / "&amp;Anmeldung!$J$39,"")</f>
        <v/>
      </c>
      <c r="FN26" t="str">
        <f>IF(AND(32&lt;&gt;32,Anmeldung!$D$39&lt;&gt;"",Anmeldung!$G$39=Anmeldung!$G$39,Anmeldung!$J$39=Anmeldung!$J$39,(Anmeldung!$B$39&amp;": "&amp;Anmeldung!$D$39&amp;", "&amp;Anmeldung!$E$39&amp;" / "&amp;Anmeldung!$G$39&amp;" / "&amp;Anmeldung!$J$39)&lt;&gt;Anmeldung!$P$39),Anmeldung!$B$39&amp;": "&amp;Anmeldung!$D$39&amp;", "&amp;Anmeldung!$E$39&amp;" / "&amp;Anmeldung!$G$39&amp;" / "&amp;Anmeldung!$J$39,"")</f>
        <v/>
      </c>
      <c r="FO26" t="str">
        <f>IF(AND(32&lt;&gt;32,Anmeldung!$D$39&lt;&gt;"",Anmeldung!$G$39=Anmeldung!$G$39,Anmeldung!$J$39=Anmeldung!$J$39,(Anmeldung!$B$39&amp;": "&amp;Anmeldung!$D$39&amp;", "&amp;Anmeldung!$E$39&amp;" / "&amp;Anmeldung!$G$39&amp;" / "&amp;Anmeldung!$J$39)&lt;&gt;Anmeldung!$O$39),Anmeldung!$B$39&amp;": "&amp;Anmeldung!$D$39&amp;", "&amp;Anmeldung!$E$39&amp;" / "&amp;Anmeldung!$G$39&amp;" / "&amp;Anmeldung!$J$39,"")</f>
        <v/>
      </c>
      <c r="FP26" t="str">
        <f>IF(AND(32&lt;&gt;32,Anmeldung!$D$39&lt;&gt;"",Anmeldung!$G$39&lt;&gt;Anmeldung!$G$39,(Anmeldung!$B$39&amp;": "&amp;Anmeldung!$D$39&amp;", "&amp;Anmeldung!$E$39&amp;" / "&amp;Anmeldung!$G$39&amp;" / "&amp;Anmeldung!$J$39)&lt;&gt;Anmeldung!$S$39),Anmeldung!$B$39&amp;": "&amp;Anmeldung!$D$39&amp;", "&amp;Anmeldung!$E$39&amp;" / "&amp;Anmeldung!$G$39&amp;" / "&amp;Anmeldung!$J$39,"")</f>
        <v/>
      </c>
      <c r="FQ26" t="str">
        <f>IF(AND(32&lt;&gt;32,Anmeldung!$D$39&lt;&gt;"",(Anmeldung!$B$39&amp;": "&amp;Anmeldung!$D$39&amp;", "&amp;Anmeldung!$E$39&amp;" / "&amp;Anmeldung!$G$39&amp;" / "&amp;Anmeldung!$J$39)&lt;&gt;Anmeldung!$R$39),Anmeldung!$B$39&amp;": "&amp;Anmeldung!$D$39&amp;", "&amp;Anmeldung!$E$39&amp;" / "&amp;Anmeldung!$G$39&amp;" / "&amp;Anmeldung!$J$39,"")</f>
        <v/>
      </c>
      <c r="FR26" t="str">
        <f>IF(AND(31&lt;&gt;31,Anmeldung!$D$39&lt;&gt;"",Anmeldung!$U$39="Ja",Anmeldung!$G$39=Anmeldung!$G$39,Anmeldung!$J$39=Anmeldung!$J$39),Anmeldung!$B$39&amp;": "&amp;Anmeldung!$D$39&amp;", "&amp;Anmeldung!$E$39&amp;" / "&amp;Anmeldung!$G$39&amp;" / "&amp;Anmeldung!$J$39,"")</f>
        <v/>
      </c>
      <c r="FU26" t="str">
        <f>IF(AND(32&lt;&gt;33,Anmeldung!$D$39&lt;&gt;"",Anmeldung!$G$39=Anmeldung!$G$40,Anmeldung!$J$39=Anmeldung!$J$40),Anmeldung!$B$39&amp;": "&amp;Anmeldung!$D$39&amp;", "&amp;Anmeldung!$E$39&amp;" / "&amp;Anmeldung!$G$39&amp;" / "&amp;Anmeldung!$J$39,"")</f>
        <v/>
      </c>
      <c r="FV26" t="str">
        <f>IF(AND(32&lt;&gt;33,Anmeldung!$D$39&lt;&gt;"",Anmeldung!$G$39=Anmeldung!$G$40,Anmeldung!$J$39=Anmeldung!$J$40,(Anmeldung!$B$39&amp;": "&amp;Anmeldung!$D$39&amp;", "&amp;Anmeldung!$E$39&amp;" / "&amp;Anmeldung!$G$39&amp;" / "&amp;Anmeldung!$J$39)&lt;&gt;Anmeldung!$P$40),Anmeldung!$B$39&amp;": "&amp;Anmeldung!$D$39&amp;", "&amp;Anmeldung!$E$39&amp;" / "&amp;Anmeldung!$G$39&amp;" / "&amp;Anmeldung!$J$39,"")</f>
        <v/>
      </c>
      <c r="FW26" t="str">
        <f>IF(AND(32&lt;&gt;33,Anmeldung!$D$39&lt;&gt;"",Anmeldung!$G$39=Anmeldung!$G$40,Anmeldung!$J$39=Anmeldung!$J$40,(Anmeldung!$B$39&amp;": "&amp;Anmeldung!$D$39&amp;", "&amp;Anmeldung!$E$39&amp;" / "&amp;Anmeldung!$G$39&amp;" / "&amp;Anmeldung!$J$39)&lt;&gt;Anmeldung!$O$40),Anmeldung!$B$39&amp;": "&amp;Anmeldung!$D$39&amp;", "&amp;Anmeldung!$E$39&amp;" / "&amp;Anmeldung!$G$39&amp;" / "&amp;Anmeldung!$J$39,"")</f>
        <v/>
      </c>
      <c r="FX26" t="str">
        <f>IF(AND(32&lt;&gt;33,Anmeldung!$D$39&lt;&gt;"",Anmeldung!$G$39&lt;&gt;Anmeldung!$G$40,(Anmeldung!$B$39&amp;": "&amp;Anmeldung!$D$39&amp;", "&amp;Anmeldung!$E$39&amp;" / "&amp;Anmeldung!$G$39&amp;" / "&amp;Anmeldung!$J$39)&lt;&gt;Anmeldung!$S$40),Anmeldung!$B$39&amp;": "&amp;Anmeldung!$D$39&amp;", "&amp;Anmeldung!$E$39&amp;" / "&amp;Anmeldung!$G$39&amp;" / "&amp;Anmeldung!$J$39,"")</f>
        <v/>
      </c>
      <c r="FY26" t="str">
        <f>IF(AND(32&lt;&gt;33,Anmeldung!$D$39&lt;&gt;"",(Anmeldung!$B$39&amp;": "&amp;Anmeldung!$D$39&amp;", "&amp;Anmeldung!$E$39&amp;" / "&amp;Anmeldung!$G$39&amp;" / "&amp;Anmeldung!$J$39)&lt;&gt;Anmeldung!$R$40),Anmeldung!$B$39&amp;": "&amp;Anmeldung!$D$39&amp;", "&amp;Anmeldung!$E$39&amp;" / "&amp;Anmeldung!$G$39&amp;" / "&amp;Anmeldung!$J$39,"")</f>
        <v/>
      </c>
      <c r="FZ26" t="str">
        <f>IF(AND(31&lt;&gt;32,Anmeldung!$D$39&lt;&gt;"",Anmeldung!$U$39="Ja",Anmeldung!$G$39=Anmeldung!$G$40,Anmeldung!$J$39=Anmeldung!$J$40),Anmeldung!$B$39&amp;": "&amp;Anmeldung!$D$39&amp;", "&amp;Anmeldung!$E$39&amp;" / "&amp;Anmeldung!$G$39&amp;" / "&amp;Anmeldung!$J$39,"")</f>
        <v/>
      </c>
      <c r="GC26" t="str">
        <f>IF(AND(32&lt;&gt;34,Anmeldung!$D$39&lt;&gt;"",Anmeldung!$G$39=Anmeldung!$G$41,Anmeldung!$J$39=Anmeldung!$J$41),Anmeldung!$B$39&amp;": "&amp;Anmeldung!$D$39&amp;", "&amp;Anmeldung!$E$39&amp;" / "&amp;Anmeldung!$G$39&amp;" / "&amp;Anmeldung!$J$39,"")</f>
        <v/>
      </c>
      <c r="GD26" t="str">
        <f>IF(AND(32&lt;&gt;34,Anmeldung!$D$39&lt;&gt;"",Anmeldung!$G$39=Anmeldung!$G$41,Anmeldung!$J$39=Anmeldung!$J$41,(Anmeldung!$B$39&amp;": "&amp;Anmeldung!$D$39&amp;", "&amp;Anmeldung!$E$39&amp;" / "&amp;Anmeldung!$G$39&amp;" / "&amp;Anmeldung!$J$39)&lt;&gt;Anmeldung!$P$41),Anmeldung!$B$39&amp;": "&amp;Anmeldung!$D$39&amp;", "&amp;Anmeldung!$E$39&amp;" / "&amp;Anmeldung!$G$39&amp;" / "&amp;Anmeldung!$J$39,"")</f>
        <v/>
      </c>
      <c r="GE26" t="str">
        <f>IF(AND(32&lt;&gt;34,Anmeldung!$D$39&lt;&gt;"",Anmeldung!$G$39=Anmeldung!$G$41,Anmeldung!$J$39=Anmeldung!$J$41,(Anmeldung!$B$39&amp;": "&amp;Anmeldung!$D$39&amp;", "&amp;Anmeldung!$E$39&amp;" / "&amp;Anmeldung!$G$39&amp;" / "&amp;Anmeldung!$J$39)&lt;&gt;Anmeldung!$O$41),Anmeldung!$B$39&amp;": "&amp;Anmeldung!$D$39&amp;", "&amp;Anmeldung!$E$39&amp;" / "&amp;Anmeldung!$G$39&amp;" / "&amp;Anmeldung!$J$39,"")</f>
        <v/>
      </c>
      <c r="GF26" t="str">
        <f>IF(AND(32&lt;&gt;34,Anmeldung!$D$39&lt;&gt;"",Anmeldung!$G$39&lt;&gt;Anmeldung!$G$41,(Anmeldung!$B$39&amp;": "&amp;Anmeldung!$D$39&amp;", "&amp;Anmeldung!$E$39&amp;" / "&amp;Anmeldung!$G$39&amp;" / "&amp;Anmeldung!$J$39)&lt;&gt;Anmeldung!$S$41),Anmeldung!$B$39&amp;": "&amp;Anmeldung!$D$39&amp;", "&amp;Anmeldung!$E$39&amp;" / "&amp;Anmeldung!$G$39&amp;" / "&amp;Anmeldung!$J$39,"")</f>
        <v/>
      </c>
      <c r="GG26" t="str">
        <f>IF(AND(32&lt;&gt;34,Anmeldung!$D$39&lt;&gt;"",(Anmeldung!$B$39&amp;": "&amp;Anmeldung!$D$39&amp;", "&amp;Anmeldung!$E$39&amp;" / "&amp;Anmeldung!$G$39&amp;" / "&amp;Anmeldung!$J$39)&lt;&gt;Anmeldung!$R$41),Anmeldung!$B$39&amp;": "&amp;Anmeldung!$D$39&amp;", "&amp;Anmeldung!$E$39&amp;" / "&amp;Anmeldung!$G$39&amp;" / "&amp;Anmeldung!$J$39,"")</f>
        <v/>
      </c>
      <c r="GH26" t="str">
        <f>IF(AND(31&lt;&gt;33,Anmeldung!$D$39&lt;&gt;"",Anmeldung!$U$39="Ja",Anmeldung!$G$39=Anmeldung!$G$41,Anmeldung!$J$39=Anmeldung!$J$41),Anmeldung!$B$39&amp;": "&amp;Anmeldung!$D$39&amp;", "&amp;Anmeldung!$E$39&amp;" / "&amp;Anmeldung!$G$39&amp;" / "&amp;Anmeldung!$J$39,"")</f>
        <v/>
      </c>
      <c r="GK26" t="str">
        <f>IF(AND(32&lt;&gt;35,Anmeldung!$D$39&lt;&gt;"",Anmeldung!$G$39=Anmeldung!$G$42,Anmeldung!$J$39=Anmeldung!$J$42),Anmeldung!$B$39&amp;": "&amp;Anmeldung!$D$39&amp;", "&amp;Anmeldung!$E$39&amp;" / "&amp;Anmeldung!$G$39&amp;" / "&amp;Anmeldung!$J$39,"")</f>
        <v/>
      </c>
      <c r="GL26" t="str">
        <f>IF(AND(32&lt;&gt;35,Anmeldung!$D$39&lt;&gt;"",Anmeldung!$G$39=Anmeldung!$G$42,Anmeldung!$J$39=Anmeldung!$J$42,(Anmeldung!$B$39&amp;": "&amp;Anmeldung!$D$39&amp;", "&amp;Anmeldung!$E$39&amp;" / "&amp;Anmeldung!$G$39&amp;" / "&amp;Anmeldung!$J$39)&lt;&gt;Anmeldung!$P$42),Anmeldung!$B$39&amp;": "&amp;Anmeldung!$D$39&amp;", "&amp;Anmeldung!$E$39&amp;" / "&amp;Anmeldung!$G$39&amp;" / "&amp;Anmeldung!$J$39,"")</f>
        <v/>
      </c>
      <c r="GM26" t="str">
        <f>IF(AND(32&lt;&gt;35,Anmeldung!$D$39&lt;&gt;"",Anmeldung!$G$39=Anmeldung!$G$42,Anmeldung!$J$39=Anmeldung!$J$42,(Anmeldung!$B$39&amp;": "&amp;Anmeldung!$D$39&amp;", "&amp;Anmeldung!$E$39&amp;" / "&amp;Anmeldung!$G$39&amp;" / "&amp;Anmeldung!$J$39)&lt;&gt;Anmeldung!$O$42),Anmeldung!$B$39&amp;": "&amp;Anmeldung!$D$39&amp;", "&amp;Anmeldung!$E$39&amp;" / "&amp;Anmeldung!$G$39&amp;" / "&amp;Anmeldung!$J$39,"")</f>
        <v/>
      </c>
      <c r="GN26" t="str">
        <f>IF(AND(32&lt;&gt;35,Anmeldung!$D$39&lt;&gt;"",Anmeldung!$G$39&lt;&gt;Anmeldung!$G$42,(Anmeldung!$B$39&amp;": "&amp;Anmeldung!$D$39&amp;", "&amp;Anmeldung!$E$39&amp;" / "&amp;Anmeldung!$G$39&amp;" / "&amp;Anmeldung!$J$39)&lt;&gt;Anmeldung!$S$42),Anmeldung!$B$39&amp;": "&amp;Anmeldung!$D$39&amp;", "&amp;Anmeldung!$E$39&amp;" / "&amp;Anmeldung!$G$39&amp;" / "&amp;Anmeldung!$J$39,"")</f>
        <v/>
      </c>
      <c r="GO26" t="str">
        <f>IF(AND(32&lt;&gt;35,Anmeldung!$D$39&lt;&gt;"",(Anmeldung!$B$39&amp;": "&amp;Anmeldung!$D$39&amp;", "&amp;Anmeldung!$E$39&amp;" / "&amp;Anmeldung!$G$39&amp;" / "&amp;Anmeldung!$J$39)&lt;&gt;Anmeldung!$R$42),Anmeldung!$B$39&amp;": "&amp;Anmeldung!$D$39&amp;", "&amp;Anmeldung!$E$39&amp;" / "&amp;Anmeldung!$G$39&amp;" / "&amp;Anmeldung!$J$39,"")</f>
        <v/>
      </c>
      <c r="GP26" t="str">
        <f>IF(AND(31&lt;&gt;34,Anmeldung!$D$39&lt;&gt;"",Anmeldung!$U$39="Ja",Anmeldung!$G$39=Anmeldung!$G$42,Anmeldung!$J$39=Anmeldung!$J$42),Anmeldung!$B$39&amp;": "&amp;Anmeldung!$D$39&amp;", "&amp;Anmeldung!$E$39&amp;" / "&amp;Anmeldung!$G$39&amp;" / "&amp;Anmeldung!$J$39,"")</f>
        <v/>
      </c>
      <c r="GS26" t="str">
        <f>IF(AND(32&lt;&gt;36,Anmeldung!$D$39&lt;&gt;"",Anmeldung!$G$39=Anmeldung!$G$43,Anmeldung!$J$39=Anmeldung!$J$43),Anmeldung!$B$39&amp;": "&amp;Anmeldung!$D$39&amp;", "&amp;Anmeldung!$E$39&amp;" / "&amp;Anmeldung!$G$39&amp;" / "&amp;Anmeldung!$J$39,"")</f>
        <v/>
      </c>
      <c r="GT26" t="str">
        <f>IF(AND(32&lt;&gt;36,Anmeldung!$D$39&lt;&gt;"",Anmeldung!$G$39=Anmeldung!$G$43,Anmeldung!$J$39=Anmeldung!$J$43,(Anmeldung!$B$39&amp;": "&amp;Anmeldung!$D$39&amp;", "&amp;Anmeldung!$E$39&amp;" / "&amp;Anmeldung!$G$39&amp;" / "&amp;Anmeldung!$J$39)&lt;&gt;Anmeldung!$P$43),Anmeldung!$B$39&amp;": "&amp;Anmeldung!$D$39&amp;", "&amp;Anmeldung!$E$39&amp;" / "&amp;Anmeldung!$G$39&amp;" / "&amp;Anmeldung!$J$39,"")</f>
        <v/>
      </c>
      <c r="GU26" t="str">
        <f>IF(AND(32&lt;&gt;36,Anmeldung!$D$39&lt;&gt;"",Anmeldung!$G$39=Anmeldung!$G$43,Anmeldung!$J$39=Anmeldung!$J$43,(Anmeldung!$B$39&amp;": "&amp;Anmeldung!$D$39&amp;", "&amp;Anmeldung!$E$39&amp;" / "&amp;Anmeldung!$G$39&amp;" / "&amp;Anmeldung!$J$39)&lt;&gt;Anmeldung!$O$43),Anmeldung!$B$39&amp;": "&amp;Anmeldung!$D$39&amp;", "&amp;Anmeldung!$E$39&amp;" / "&amp;Anmeldung!$G$39&amp;" / "&amp;Anmeldung!$J$39,"")</f>
        <v/>
      </c>
      <c r="GV26" t="str">
        <f>IF(AND(32&lt;&gt;36,Anmeldung!$D$39&lt;&gt;"",Anmeldung!$G$39&lt;&gt;Anmeldung!$G$43,(Anmeldung!$B$39&amp;": "&amp;Anmeldung!$D$39&amp;", "&amp;Anmeldung!$E$39&amp;" / "&amp;Anmeldung!$G$39&amp;" / "&amp;Anmeldung!$J$39)&lt;&gt;Anmeldung!$S$43),Anmeldung!$B$39&amp;": "&amp;Anmeldung!$D$39&amp;", "&amp;Anmeldung!$E$39&amp;" / "&amp;Anmeldung!$G$39&amp;" / "&amp;Anmeldung!$J$39,"")</f>
        <v/>
      </c>
      <c r="GW26" t="str">
        <f>IF(AND(32&lt;&gt;36,Anmeldung!$D$39&lt;&gt;"",(Anmeldung!$B$39&amp;": "&amp;Anmeldung!$D$39&amp;", "&amp;Anmeldung!$E$39&amp;" / "&amp;Anmeldung!$G$39&amp;" / "&amp;Anmeldung!$J$39)&lt;&gt;Anmeldung!$R$43),Anmeldung!$B$39&amp;": "&amp;Anmeldung!$D$39&amp;", "&amp;Anmeldung!$E$39&amp;" / "&amp;Anmeldung!$G$39&amp;" / "&amp;Anmeldung!$J$39,"")</f>
        <v/>
      </c>
      <c r="GX26" t="str">
        <f>IF(AND(31&lt;&gt;35,Anmeldung!$D$39&lt;&gt;"",Anmeldung!$U$39="Ja",Anmeldung!$G$39=Anmeldung!$G$43,Anmeldung!$J$39=Anmeldung!$J$43),Anmeldung!$B$39&amp;": "&amp;Anmeldung!$D$39&amp;", "&amp;Anmeldung!$E$39&amp;" / "&amp;Anmeldung!$G$39&amp;" / "&amp;Anmeldung!$J$39,"")</f>
        <v/>
      </c>
      <c r="HA26" t="str">
        <f>IF(AND(32&lt;&gt;37,Anmeldung!$D$39&lt;&gt;"",Anmeldung!$G$39=Anmeldung!$G$44,Anmeldung!$J$39=Anmeldung!$J$44),Anmeldung!$B$39&amp;": "&amp;Anmeldung!$D$39&amp;", "&amp;Anmeldung!$E$39&amp;" / "&amp;Anmeldung!$G$39&amp;" / "&amp;Anmeldung!$J$39,"")</f>
        <v/>
      </c>
      <c r="HB26" t="str">
        <f>IF(AND(32&lt;&gt;37,Anmeldung!$D$39&lt;&gt;"",Anmeldung!$G$39=Anmeldung!$G$44,Anmeldung!$J$39=Anmeldung!$J$44,(Anmeldung!$B$39&amp;": "&amp;Anmeldung!$D$39&amp;", "&amp;Anmeldung!$E$39&amp;" / "&amp;Anmeldung!$G$39&amp;" / "&amp;Anmeldung!$J$39)&lt;&gt;Anmeldung!$P$44),Anmeldung!$B$39&amp;": "&amp;Anmeldung!$D$39&amp;", "&amp;Anmeldung!$E$39&amp;" / "&amp;Anmeldung!$G$39&amp;" / "&amp;Anmeldung!$J$39,"")</f>
        <v/>
      </c>
      <c r="HC26" t="str">
        <f>IF(AND(32&lt;&gt;37,Anmeldung!$D$39&lt;&gt;"",Anmeldung!$G$39=Anmeldung!$G$44,Anmeldung!$J$39=Anmeldung!$J$44,(Anmeldung!$B$39&amp;": "&amp;Anmeldung!$D$39&amp;", "&amp;Anmeldung!$E$39&amp;" / "&amp;Anmeldung!$G$39&amp;" / "&amp;Anmeldung!$J$39)&lt;&gt;Anmeldung!$O$44),Anmeldung!$B$39&amp;": "&amp;Anmeldung!$D$39&amp;", "&amp;Anmeldung!$E$39&amp;" / "&amp;Anmeldung!$G$39&amp;" / "&amp;Anmeldung!$J$39,"")</f>
        <v/>
      </c>
      <c r="HD26" t="str">
        <f>IF(AND(32&lt;&gt;37,Anmeldung!$D$39&lt;&gt;"",Anmeldung!$G$39&lt;&gt;Anmeldung!$G$44,(Anmeldung!$B$39&amp;": "&amp;Anmeldung!$D$39&amp;", "&amp;Anmeldung!$E$39&amp;" / "&amp;Anmeldung!$G$39&amp;" / "&amp;Anmeldung!$J$39)&lt;&gt;Anmeldung!$S$44),Anmeldung!$B$39&amp;": "&amp;Anmeldung!$D$39&amp;", "&amp;Anmeldung!$E$39&amp;" / "&amp;Anmeldung!$G$39&amp;" / "&amp;Anmeldung!$J$39,"")</f>
        <v/>
      </c>
      <c r="HE26" t="str">
        <f>IF(AND(32&lt;&gt;37,Anmeldung!$D$39&lt;&gt;"",(Anmeldung!$B$39&amp;": "&amp;Anmeldung!$D$39&amp;", "&amp;Anmeldung!$E$39&amp;" / "&amp;Anmeldung!$G$39&amp;" / "&amp;Anmeldung!$J$39)&lt;&gt;Anmeldung!$R$44),Anmeldung!$B$39&amp;": "&amp;Anmeldung!$D$39&amp;", "&amp;Anmeldung!$E$39&amp;" / "&amp;Anmeldung!$G$39&amp;" / "&amp;Anmeldung!$J$39,"")</f>
        <v/>
      </c>
      <c r="HF26" t="str">
        <f>IF(AND(31&lt;&gt;36,Anmeldung!$D$39&lt;&gt;"",Anmeldung!$U$39="Ja",Anmeldung!$G$39=Anmeldung!$G$44,Anmeldung!$J$39=Anmeldung!$J$44),Anmeldung!$B$39&amp;": "&amp;Anmeldung!$D$39&amp;", "&amp;Anmeldung!$E$39&amp;" / "&amp;Anmeldung!$G$39&amp;" / "&amp;Anmeldung!$J$39,"")</f>
        <v/>
      </c>
      <c r="HI26" t="str">
        <f>IF(AND(32&lt;&gt;38,Anmeldung!$D$39&lt;&gt;"",Anmeldung!$G$39=Anmeldung!$G$45,Anmeldung!$J$39=Anmeldung!$J$45),Anmeldung!$B$39&amp;": "&amp;Anmeldung!$D$39&amp;", "&amp;Anmeldung!$E$39&amp;" / "&amp;Anmeldung!$G$39&amp;" / "&amp;Anmeldung!$J$39,"")</f>
        <v/>
      </c>
      <c r="HJ26" t="str">
        <f>IF(AND(32&lt;&gt;38,Anmeldung!$D$39&lt;&gt;"",Anmeldung!$G$39=Anmeldung!$G$45,Anmeldung!$J$39=Anmeldung!$J$45,(Anmeldung!$B$39&amp;": "&amp;Anmeldung!$D$39&amp;", "&amp;Anmeldung!$E$39&amp;" / "&amp;Anmeldung!$G$39&amp;" / "&amp;Anmeldung!$J$39)&lt;&gt;Anmeldung!$P$45),Anmeldung!$B$39&amp;": "&amp;Anmeldung!$D$39&amp;", "&amp;Anmeldung!$E$39&amp;" / "&amp;Anmeldung!$G$39&amp;" / "&amp;Anmeldung!$J$39,"")</f>
        <v/>
      </c>
      <c r="HK26" t="str">
        <f>IF(AND(32&lt;&gt;38,Anmeldung!$D$39&lt;&gt;"",Anmeldung!$G$39=Anmeldung!$G$45,Anmeldung!$J$39=Anmeldung!$J$45,(Anmeldung!$B$39&amp;": "&amp;Anmeldung!$D$39&amp;", "&amp;Anmeldung!$E$39&amp;" / "&amp;Anmeldung!$G$39&amp;" / "&amp;Anmeldung!$J$39)&lt;&gt;Anmeldung!$O$45),Anmeldung!$B$39&amp;": "&amp;Anmeldung!$D$39&amp;", "&amp;Anmeldung!$E$39&amp;" / "&amp;Anmeldung!$G$39&amp;" / "&amp;Anmeldung!$J$39,"")</f>
        <v/>
      </c>
      <c r="HL26" t="str">
        <f>IF(AND(32&lt;&gt;38,Anmeldung!$D$39&lt;&gt;"",Anmeldung!$G$39&lt;&gt;Anmeldung!$G$45,(Anmeldung!$B$39&amp;": "&amp;Anmeldung!$D$39&amp;", "&amp;Anmeldung!$E$39&amp;" / "&amp;Anmeldung!$G$39&amp;" / "&amp;Anmeldung!$J$39)&lt;&gt;Anmeldung!$S$45),Anmeldung!$B$39&amp;": "&amp;Anmeldung!$D$39&amp;", "&amp;Anmeldung!$E$39&amp;" / "&amp;Anmeldung!$G$39&amp;" / "&amp;Anmeldung!$J$39,"")</f>
        <v/>
      </c>
      <c r="HM26" t="str">
        <f>IF(AND(32&lt;&gt;38,Anmeldung!$D$39&lt;&gt;"",(Anmeldung!$B$39&amp;": "&amp;Anmeldung!$D$39&amp;", "&amp;Anmeldung!$E$39&amp;" / "&amp;Anmeldung!$G$39&amp;" / "&amp;Anmeldung!$J$39)&lt;&gt;Anmeldung!$R$45),Anmeldung!$B$39&amp;": "&amp;Anmeldung!$D$39&amp;", "&amp;Anmeldung!$E$39&amp;" / "&amp;Anmeldung!$G$39&amp;" / "&amp;Anmeldung!$J$39,"")</f>
        <v/>
      </c>
      <c r="HN26" t="str">
        <f>IF(AND(31&lt;&gt;37,Anmeldung!$D$39&lt;&gt;"",Anmeldung!$U$39="Ja",Anmeldung!$G$39=Anmeldung!$G$45,Anmeldung!$J$39=Anmeldung!$J$45),Anmeldung!$B$39&amp;": "&amp;Anmeldung!$D$39&amp;", "&amp;Anmeldung!$E$39&amp;" / "&amp;Anmeldung!$G$39&amp;" / "&amp;Anmeldung!$J$39,"")</f>
        <v/>
      </c>
      <c r="HQ26" t="str">
        <f>IF(AND(32&lt;&gt;39,Anmeldung!$D$39&lt;&gt;"",Anmeldung!$G$39=Anmeldung!$G$46,Anmeldung!$J$39=Anmeldung!$J$46),Anmeldung!$B$39&amp;": "&amp;Anmeldung!$D$39&amp;", "&amp;Anmeldung!$E$39&amp;" / "&amp;Anmeldung!$G$39&amp;" / "&amp;Anmeldung!$J$39,"")</f>
        <v/>
      </c>
      <c r="HR26" t="str">
        <f>IF(AND(32&lt;&gt;39,Anmeldung!$D$39&lt;&gt;"",Anmeldung!$G$39=Anmeldung!$G$46,Anmeldung!$J$39=Anmeldung!$J$46,(Anmeldung!$B$39&amp;": "&amp;Anmeldung!$D$39&amp;", "&amp;Anmeldung!$E$39&amp;" / "&amp;Anmeldung!$G$39&amp;" / "&amp;Anmeldung!$J$39)&lt;&gt;Anmeldung!$P$46),Anmeldung!$B$39&amp;": "&amp;Anmeldung!$D$39&amp;", "&amp;Anmeldung!$E$39&amp;" / "&amp;Anmeldung!$G$39&amp;" / "&amp;Anmeldung!$J$39,"")</f>
        <v/>
      </c>
      <c r="HS26" t="str">
        <f>IF(AND(32&lt;&gt;39,Anmeldung!$D$39&lt;&gt;"",Anmeldung!$G$39=Anmeldung!$G$46,Anmeldung!$J$39=Anmeldung!$J$46,(Anmeldung!$B$39&amp;": "&amp;Anmeldung!$D$39&amp;", "&amp;Anmeldung!$E$39&amp;" / "&amp;Anmeldung!$G$39&amp;" / "&amp;Anmeldung!$J$39)&lt;&gt;Anmeldung!$O$46),Anmeldung!$B$39&amp;": "&amp;Anmeldung!$D$39&amp;", "&amp;Anmeldung!$E$39&amp;" / "&amp;Anmeldung!$G$39&amp;" / "&amp;Anmeldung!$J$39,"")</f>
        <v/>
      </c>
      <c r="HT26" t="str">
        <f>IF(AND(32&lt;&gt;39,Anmeldung!$D$39&lt;&gt;"",Anmeldung!$G$39&lt;&gt;Anmeldung!$G$46,(Anmeldung!$B$39&amp;": "&amp;Anmeldung!$D$39&amp;", "&amp;Anmeldung!$E$39&amp;" / "&amp;Anmeldung!$G$39&amp;" / "&amp;Anmeldung!$J$39)&lt;&gt;Anmeldung!$S$46),Anmeldung!$B$39&amp;": "&amp;Anmeldung!$D$39&amp;", "&amp;Anmeldung!$E$39&amp;" / "&amp;Anmeldung!$G$39&amp;" / "&amp;Anmeldung!$J$39,"")</f>
        <v/>
      </c>
      <c r="HU26" t="str">
        <f>IF(AND(32&lt;&gt;39,Anmeldung!$D$39&lt;&gt;"",(Anmeldung!$B$39&amp;": "&amp;Anmeldung!$D$39&amp;", "&amp;Anmeldung!$E$39&amp;" / "&amp;Anmeldung!$G$39&amp;" / "&amp;Anmeldung!$J$39)&lt;&gt;Anmeldung!$R$46),Anmeldung!$B$39&amp;": "&amp;Anmeldung!$D$39&amp;", "&amp;Anmeldung!$E$39&amp;" / "&amp;Anmeldung!$G$39&amp;" / "&amp;Anmeldung!$J$39,"")</f>
        <v/>
      </c>
      <c r="HV26" t="str">
        <f>IF(AND(31&lt;&gt;38,Anmeldung!$D$39&lt;&gt;"",Anmeldung!$U$39="Ja",Anmeldung!$G$39=Anmeldung!$G$46,Anmeldung!$J$39=Anmeldung!$J$46),Anmeldung!$B$39&amp;": "&amp;Anmeldung!$D$39&amp;", "&amp;Anmeldung!$E$39&amp;" / "&amp;Anmeldung!$G$39&amp;" / "&amp;Anmeldung!$J$39,"")</f>
        <v/>
      </c>
      <c r="HY26" t="str">
        <f>IF(AND(32&lt;&gt;40,Anmeldung!$D$39&lt;&gt;"",Anmeldung!$G$39=Anmeldung!$G$47,Anmeldung!$J$39=Anmeldung!$J$47),Anmeldung!$B$39&amp;": "&amp;Anmeldung!$D$39&amp;", "&amp;Anmeldung!$E$39&amp;" / "&amp;Anmeldung!$G$39&amp;" / "&amp;Anmeldung!$J$39,"")</f>
        <v/>
      </c>
      <c r="HZ26" t="str">
        <f>IF(AND(32&lt;&gt;40,Anmeldung!$D$39&lt;&gt;"",Anmeldung!$G$39=Anmeldung!$G$47,Anmeldung!$J$39=Anmeldung!$J$47,(Anmeldung!$B$39&amp;": "&amp;Anmeldung!$D$39&amp;", "&amp;Anmeldung!$E$39&amp;" / "&amp;Anmeldung!$G$39&amp;" / "&amp;Anmeldung!$J$39)&lt;&gt;Anmeldung!$P$47),Anmeldung!$B$39&amp;": "&amp;Anmeldung!$D$39&amp;", "&amp;Anmeldung!$E$39&amp;" / "&amp;Anmeldung!$G$39&amp;" / "&amp;Anmeldung!$J$39,"")</f>
        <v/>
      </c>
      <c r="IA26" t="str">
        <f>IF(AND(32&lt;&gt;40,Anmeldung!$D$39&lt;&gt;"",Anmeldung!$G$39=Anmeldung!$G$47,Anmeldung!$J$39=Anmeldung!$J$47,(Anmeldung!$B$39&amp;": "&amp;Anmeldung!$D$39&amp;", "&amp;Anmeldung!$E$39&amp;" / "&amp;Anmeldung!$G$39&amp;" / "&amp;Anmeldung!$J$39)&lt;&gt;Anmeldung!$O$47),Anmeldung!$B$39&amp;": "&amp;Anmeldung!$D$39&amp;", "&amp;Anmeldung!$E$39&amp;" / "&amp;Anmeldung!$G$39&amp;" / "&amp;Anmeldung!$J$39,"")</f>
        <v/>
      </c>
      <c r="IB26" t="str">
        <f>IF(AND(32&lt;&gt;40,Anmeldung!$D$39&lt;&gt;"",Anmeldung!$G$39&lt;&gt;Anmeldung!$G$47,(Anmeldung!$B$39&amp;": "&amp;Anmeldung!$D$39&amp;", "&amp;Anmeldung!$E$39&amp;" / "&amp;Anmeldung!$G$39&amp;" / "&amp;Anmeldung!$J$39)&lt;&gt;Anmeldung!$S$47),Anmeldung!$B$39&amp;": "&amp;Anmeldung!$D$39&amp;", "&amp;Anmeldung!$E$39&amp;" / "&amp;Anmeldung!$G$39&amp;" / "&amp;Anmeldung!$J$39,"")</f>
        <v/>
      </c>
      <c r="IC26" t="str">
        <f>IF(AND(32&lt;&gt;40,Anmeldung!$D$39&lt;&gt;"",(Anmeldung!$B$39&amp;": "&amp;Anmeldung!$D$39&amp;", "&amp;Anmeldung!$E$39&amp;" / "&amp;Anmeldung!$G$39&amp;" / "&amp;Anmeldung!$J$39)&lt;&gt;Anmeldung!$R$47),Anmeldung!$B$39&amp;": "&amp;Anmeldung!$D$39&amp;", "&amp;Anmeldung!$E$39&amp;" / "&amp;Anmeldung!$G$39&amp;" / "&amp;Anmeldung!$J$39,"")</f>
        <v/>
      </c>
      <c r="ID26" t="str">
        <f>IF(AND(31&lt;&gt;39,Anmeldung!$D$39&lt;&gt;"",Anmeldung!$U$39="Ja",Anmeldung!$G$39=Anmeldung!$G$47,Anmeldung!$J$39=Anmeldung!$J$47),Anmeldung!$B$39&amp;": "&amp;Anmeldung!$D$39&amp;", "&amp;Anmeldung!$E$39&amp;" / "&amp;Anmeldung!$G$39&amp;" / "&amp;Anmeldung!$J$39,"")</f>
        <v/>
      </c>
    </row>
    <row r="27" spans="1:238" ht="14.25" customHeight="1" x14ac:dyDescent="0.3">
      <c r="A27" t="str">
        <f>IF(AND(33&lt;&gt;11,Anmeldung!$D$40&lt;&gt;"",Anmeldung!$G$40=Anmeldung!$G$18,Anmeldung!$J$40=Anmeldung!$J$18),Anmeldung!$B$40&amp;": "&amp;Anmeldung!$D$40&amp;", "&amp;Anmeldung!$E$40&amp;" / "&amp;Anmeldung!$G$40&amp;" / "&amp;Anmeldung!$J$40,"")</f>
        <v/>
      </c>
      <c r="B27" t="str">
        <f>IF(AND(33&lt;&gt;11,Anmeldung!$D$40&lt;&gt;"",Anmeldung!$G$40=Anmeldung!$G$18,Anmeldung!$J$40=Anmeldung!$J$18,(Anmeldung!$B$40&amp;": "&amp;Anmeldung!$D$40&amp;", "&amp;Anmeldung!$E$40&amp;" / "&amp;Anmeldung!$G$40&amp;" / "&amp;Anmeldung!$J$40)&lt;&gt;Anmeldung!$P$18),Anmeldung!$B$40&amp;": "&amp;Anmeldung!$D$40&amp;", "&amp;Anmeldung!$E$40&amp;" / "&amp;Anmeldung!$G$40&amp;" / "&amp;Anmeldung!$J$40,"")</f>
        <v/>
      </c>
      <c r="C27" t="str">
        <f>IF(AND(33&lt;&gt;11,Anmeldung!$D$40&lt;&gt;"",Anmeldung!$G$40=Anmeldung!$G$18,Anmeldung!$J$40=Anmeldung!$J$18,(Anmeldung!$B$40&amp;": "&amp;Anmeldung!$D$40&amp;", "&amp;Anmeldung!$E$40&amp;" / "&amp;Anmeldung!$G$40&amp;" / "&amp;Anmeldung!$J$40)&lt;&gt;Anmeldung!$O$18),Anmeldung!$B$40&amp;": "&amp;Anmeldung!$D$40&amp;", "&amp;Anmeldung!$E$40&amp;" / "&amp;Anmeldung!$G$40&amp;" / "&amp;Anmeldung!$J$40,"")</f>
        <v/>
      </c>
      <c r="D27" t="str">
        <f>IF(AND(33&lt;&gt;11,Anmeldung!$D$40&lt;&gt;"",Anmeldung!$G$40&lt;&gt;Anmeldung!$G$18,(Anmeldung!$B$40&amp;": "&amp;Anmeldung!$D$40&amp;", "&amp;Anmeldung!$E$40&amp;" / "&amp;Anmeldung!$G$40&amp;" / "&amp;Anmeldung!$J$40)&lt;&gt;Anmeldung!$S$18),Anmeldung!$B$40&amp;": "&amp;Anmeldung!$D$40&amp;", "&amp;Anmeldung!$E$40&amp;" / "&amp;Anmeldung!$G$40&amp;" / "&amp;Anmeldung!$J$40,"")</f>
        <v/>
      </c>
      <c r="E27" t="str">
        <f>IF(AND(33&lt;&gt;11,Anmeldung!$D$40&lt;&gt;"",(Anmeldung!$B$40&amp;": "&amp;Anmeldung!$D$40&amp;", "&amp;Anmeldung!$E$40&amp;" / "&amp;Anmeldung!$G$40&amp;" / "&amp;Anmeldung!$J$40)&lt;&gt;Anmeldung!$R$18),Anmeldung!$B$40&amp;": "&amp;Anmeldung!$D$40&amp;", "&amp;Anmeldung!$E$40&amp;" / "&amp;Anmeldung!$G$40&amp;" / "&amp;Anmeldung!$J$40,"")</f>
        <v/>
      </c>
      <c r="F27" t="str">
        <f>IF(AND(32&lt;&gt;10,Anmeldung!$D$40&lt;&gt;"",Anmeldung!$U$40="Ja",Anmeldung!$G$40=Anmeldung!$G$18,Anmeldung!$J$40=Anmeldung!$J$18),Anmeldung!$B$40&amp;": "&amp;Anmeldung!$D$40&amp;", "&amp;Anmeldung!$E$40&amp;" / "&amp;Anmeldung!$G$40&amp;" / "&amp;Anmeldung!$J$40,"")</f>
        <v/>
      </c>
      <c r="I27" t="str">
        <f>IF(AND(33&lt;&gt;12,Anmeldung!$D$40&lt;&gt;"",Anmeldung!$G$40=Anmeldung!$G$19,Anmeldung!$J$40=Anmeldung!$J$19),Anmeldung!$B$40&amp;": "&amp;Anmeldung!$D$40&amp;", "&amp;Anmeldung!$E$40&amp;" / "&amp;Anmeldung!$G$40&amp;" / "&amp;Anmeldung!$J$40,"")</f>
        <v/>
      </c>
      <c r="J27" t="str">
        <f>IF(AND(33&lt;&gt;12,Anmeldung!$D$40&lt;&gt;"",Anmeldung!$G$40=Anmeldung!$G$19,Anmeldung!$J$40=Anmeldung!$J$19,(Anmeldung!$B$40&amp;": "&amp;Anmeldung!$D$40&amp;", "&amp;Anmeldung!$E$40&amp;" / "&amp;Anmeldung!$G$40&amp;" / "&amp;Anmeldung!$J$40)&lt;&gt;Anmeldung!$P$19),Anmeldung!$B$40&amp;": "&amp;Anmeldung!$D$40&amp;", "&amp;Anmeldung!$E$40&amp;" / "&amp;Anmeldung!$G$40&amp;" / "&amp;Anmeldung!$J$40,"")</f>
        <v/>
      </c>
      <c r="K27" t="str">
        <f>IF(AND(33&lt;&gt;12,Anmeldung!$D$40&lt;&gt;"",Anmeldung!$G$40=Anmeldung!$G$19,Anmeldung!$J$40=Anmeldung!$J$19,(Anmeldung!$B$40&amp;": "&amp;Anmeldung!$D$40&amp;", "&amp;Anmeldung!$E$40&amp;" / "&amp;Anmeldung!$G$40&amp;" / "&amp;Anmeldung!$J$40)&lt;&gt;Anmeldung!$O$19),Anmeldung!$B$40&amp;": "&amp;Anmeldung!$D$40&amp;", "&amp;Anmeldung!$E$40&amp;" / "&amp;Anmeldung!$G$40&amp;" / "&amp;Anmeldung!$J$40,"")</f>
        <v/>
      </c>
      <c r="L27" t="str">
        <f>IF(AND(33&lt;&gt;12,Anmeldung!$D$40&lt;&gt;"",Anmeldung!$G$40&lt;&gt;Anmeldung!$G$19,(Anmeldung!$B$40&amp;": "&amp;Anmeldung!$D$40&amp;", "&amp;Anmeldung!$E$40&amp;" / "&amp;Anmeldung!$G$40&amp;" / "&amp;Anmeldung!$J$40)&lt;&gt;Anmeldung!$S$19),Anmeldung!$B$40&amp;": "&amp;Anmeldung!$D$40&amp;", "&amp;Anmeldung!$E$40&amp;" / "&amp;Anmeldung!$G$40&amp;" / "&amp;Anmeldung!$J$40,"")</f>
        <v/>
      </c>
      <c r="M27" t="str">
        <f>IF(AND(33&lt;&gt;12,Anmeldung!$D$40&lt;&gt;"",(Anmeldung!$B$40&amp;": "&amp;Anmeldung!$D$40&amp;", "&amp;Anmeldung!$E$40&amp;" / "&amp;Anmeldung!$G$40&amp;" / "&amp;Anmeldung!$J$40)&lt;&gt;Anmeldung!$R$19),Anmeldung!$B$40&amp;": "&amp;Anmeldung!$D$40&amp;", "&amp;Anmeldung!$E$40&amp;" / "&amp;Anmeldung!$G$40&amp;" / "&amp;Anmeldung!$J$40,"")</f>
        <v/>
      </c>
      <c r="N27" t="str">
        <f>IF(AND(32&lt;&gt;11,Anmeldung!$D$40&lt;&gt;"",Anmeldung!$U$40="Ja",Anmeldung!$G$40=Anmeldung!$G$19,Anmeldung!$J$40=Anmeldung!$J$19),Anmeldung!$B$40&amp;": "&amp;Anmeldung!$D$40&amp;", "&amp;Anmeldung!$E$40&amp;" / "&amp;Anmeldung!$G$40&amp;" / "&amp;Anmeldung!$J$40,"")</f>
        <v/>
      </c>
      <c r="Q27" t="str">
        <f>IF(AND(33&lt;&gt;13,Anmeldung!$D$40&lt;&gt;"",Anmeldung!$G$40=Anmeldung!$G$20,Anmeldung!$J$40=Anmeldung!$J$20),Anmeldung!$B$40&amp;": "&amp;Anmeldung!$D$40&amp;", "&amp;Anmeldung!$E$40&amp;" / "&amp;Anmeldung!$G$40&amp;" / "&amp;Anmeldung!$J$40,"")</f>
        <v/>
      </c>
      <c r="R27" t="str">
        <f>IF(AND(33&lt;&gt;13,Anmeldung!$D$40&lt;&gt;"",Anmeldung!$G$40=Anmeldung!$G$20,Anmeldung!$J$40=Anmeldung!$J$20,(Anmeldung!$B$40&amp;": "&amp;Anmeldung!$D$40&amp;", "&amp;Anmeldung!$E$40&amp;" / "&amp;Anmeldung!$G$40&amp;" / "&amp;Anmeldung!$J$40)&lt;&gt;Anmeldung!$P$20),Anmeldung!$B$40&amp;": "&amp;Anmeldung!$D$40&amp;", "&amp;Anmeldung!$E$40&amp;" / "&amp;Anmeldung!$G$40&amp;" / "&amp;Anmeldung!$J$40,"")</f>
        <v/>
      </c>
      <c r="S27" t="str">
        <f>IF(AND(33&lt;&gt;13,Anmeldung!$D$40&lt;&gt;"",Anmeldung!$G$40=Anmeldung!$G$20,Anmeldung!$J$40=Anmeldung!$J$20,(Anmeldung!$B$40&amp;": "&amp;Anmeldung!$D$40&amp;", "&amp;Anmeldung!$E$40&amp;" / "&amp;Anmeldung!$G$40&amp;" / "&amp;Anmeldung!$J$40)&lt;&gt;Anmeldung!$O$20),Anmeldung!$B$40&amp;": "&amp;Anmeldung!$D$40&amp;", "&amp;Anmeldung!$E$40&amp;" / "&amp;Anmeldung!$G$40&amp;" / "&amp;Anmeldung!$J$40,"")</f>
        <v/>
      </c>
      <c r="T27" t="str">
        <f>IF(AND(33&lt;&gt;13,Anmeldung!$D$40&lt;&gt;"",Anmeldung!$G$40&lt;&gt;Anmeldung!$G$20,(Anmeldung!$B$40&amp;": "&amp;Anmeldung!$D$40&amp;", "&amp;Anmeldung!$E$40&amp;" / "&amp;Anmeldung!$G$40&amp;" / "&amp;Anmeldung!$J$40)&lt;&gt;Anmeldung!$S$20),Anmeldung!$B$40&amp;": "&amp;Anmeldung!$D$40&amp;", "&amp;Anmeldung!$E$40&amp;" / "&amp;Anmeldung!$G$40&amp;" / "&amp;Anmeldung!$J$40,"")</f>
        <v/>
      </c>
      <c r="U27" t="str">
        <f>IF(AND(33&lt;&gt;13,Anmeldung!$D$40&lt;&gt;"",(Anmeldung!$B$40&amp;": "&amp;Anmeldung!$D$40&amp;", "&amp;Anmeldung!$E$40&amp;" / "&amp;Anmeldung!$G$40&amp;" / "&amp;Anmeldung!$J$40)&lt;&gt;Anmeldung!$R$20),Anmeldung!$B$40&amp;": "&amp;Anmeldung!$D$40&amp;", "&amp;Anmeldung!$E$40&amp;" / "&amp;Anmeldung!$G$40&amp;" / "&amp;Anmeldung!$J$40,"")</f>
        <v/>
      </c>
      <c r="V27" t="str">
        <f>IF(AND(32&lt;&gt;12,Anmeldung!$D$40&lt;&gt;"",Anmeldung!$U$40="Ja",Anmeldung!$G$40=Anmeldung!$G$20,Anmeldung!$J$40=Anmeldung!$J$20),Anmeldung!$B$40&amp;": "&amp;Anmeldung!$D$40&amp;", "&amp;Anmeldung!$E$40&amp;" / "&amp;Anmeldung!$G$40&amp;" / "&amp;Anmeldung!$J$40,"")</f>
        <v/>
      </c>
      <c r="Y27" t="str">
        <f>IF(AND(33&lt;&gt;14,Anmeldung!$D$40&lt;&gt;"",Anmeldung!$G$40=Anmeldung!$G$21,Anmeldung!$J$40=Anmeldung!$J$21),Anmeldung!$B$40&amp;": "&amp;Anmeldung!$D$40&amp;", "&amp;Anmeldung!$E$40&amp;" / "&amp;Anmeldung!$G$40&amp;" / "&amp;Anmeldung!$J$40,"")</f>
        <v/>
      </c>
      <c r="Z27" t="str">
        <f>IF(AND(33&lt;&gt;14,Anmeldung!$D$40&lt;&gt;"",Anmeldung!$G$40=Anmeldung!$G$21,Anmeldung!$J$40=Anmeldung!$J$21,(Anmeldung!$B$40&amp;": "&amp;Anmeldung!$D$40&amp;", "&amp;Anmeldung!$E$40&amp;" / "&amp;Anmeldung!$G$40&amp;" / "&amp;Anmeldung!$J$40)&lt;&gt;Anmeldung!$P$21),Anmeldung!$B$40&amp;": "&amp;Anmeldung!$D$40&amp;", "&amp;Anmeldung!$E$40&amp;" / "&amp;Anmeldung!$G$40&amp;" / "&amp;Anmeldung!$J$40,"")</f>
        <v/>
      </c>
      <c r="AA27" t="str">
        <f>IF(AND(33&lt;&gt;14,Anmeldung!$D$40&lt;&gt;"",Anmeldung!$G$40=Anmeldung!$G$21,Anmeldung!$J$40=Anmeldung!$J$21,(Anmeldung!$B$40&amp;": "&amp;Anmeldung!$D$40&amp;", "&amp;Anmeldung!$E$40&amp;" / "&amp;Anmeldung!$G$40&amp;" / "&amp;Anmeldung!$J$40)&lt;&gt;Anmeldung!$O$21),Anmeldung!$B$40&amp;": "&amp;Anmeldung!$D$40&amp;", "&amp;Anmeldung!$E$40&amp;" / "&amp;Anmeldung!$G$40&amp;" / "&amp;Anmeldung!$J$40,"")</f>
        <v/>
      </c>
      <c r="AB27" t="str">
        <f>IF(AND(33&lt;&gt;14,Anmeldung!$D$40&lt;&gt;"",Anmeldung!$G$40&lt;&gt;Anmeldung!$G$21,(Anmeldung!$B$40&amp;": "&amp;Anmeldung!$D$40&amp;", "&amp;Anmeldung!$E$40&amp;" / "&amp;Anmeldung!$G$40&amp;" / "&amp;Anmeldung!$J$40)&lt;&gt;Anmeldung!$S$21),Anmeldung!$B$40&amp;": "&amp;Anmeldung!$D$40&amp;", "&amp;Anmeldung!$E$40&amp;" / "&amp;Anmeldung!$G$40&amp;" / "&amp;Anmeldung!$J$40,"")</f>
        <v/>
      </c>
      <c r="AC27" t="str">
        <f>IF(AND(33&lt;&gt;14,Anmeldung!$D$40&lt;&gt;"",(Anmeldung!$B$40&amp;": "&amp;Anmeldung!$D$40&amp;", "&amp;Anmeldung!$E$40&amp;" / "&amp;Anmeldung!$G$40&amp;" / "&amp;Anmeldung!$J$40)&lt;&gt;Anmeldung!$R$21),Anmeldung!$B$40&amp;": "&amp;Anmeldung!$D$40&amp;", "&amp;Anmeldung!$E$40&amp;" / "&amp;Anmeldung!$G$40&amp;" / "&amp;Anmeldung!$J$40,"")</f>
        <v/>
      </c>
      <c r="AD27" t="str">
        <f>IF(AND(32&lt;&gt;13,Anmeldung!$D$40&lt;&gt;"",Anmeldung!$U$40="Ja",Anmeldung!$G$40=Anmeldung!$G$21,Anmeldung!$J$40=Anmeldung!$J$21),Anmeldung!$B$40&amp;": "&amp;Anmeldung!$D$40&amp;", "&amp;Anmeldung!$E$40&amp;" / "&amp;Anmeldung!$G$40&amp;" / "&amp;Anmeldung!$J$40,"")</f>
        <v/>
      </c>
      <c r="AG27" t="str">
        <f>IF(AND(33&lt;&gt;15,Anmeldung!$D$40&lt;&gt;"",Anmeldung!$G$40=Anmeldung!$G$22,Anmeldung!$J$40=Anmeldung!$J$22),Anmeldung!$B$40&amp;": "&amp;Anmeldung!$D$40&amp;", "&amp;Anmeldung!$E$40&amp;" / "&amp;Anmeldung!$G$40&amp;" / "&amp;Anmeldung!$J$40,"")</f>
        <v/>
      </c>
      <c r="AH27" t="str">
        <f>IF(AND(33&lt;&gt;15,Anmeldung!$D$40&lt;&gt;"",Anmeldung!$G$40=Anmeldung!$G$22,Anmeldung!$J$40=Anmeldung!$J$22,(Anmeldung!$B$40&amp;": "&amp;Anmeldung!$D$40&amp;", "&amp;Anmeldung!$E$40&amp;" / "&amp;Anmeldung!$G$40&amp;" / "&amp;Anmeldung!$J$40)&lt;&gt;Anmeldung!$P$22),Anmeldung!$B$40&amp;": "&amp;Anmeldung!$D$40&amp;", "&amp;Anmeldung!$E$40&amp;" / "&amp;Anmeldung!$G$40&amp;" / "&amp;Anmeldung!$J$40,"")</f>
        <v/>
      </c>
      <c r="AI27" t="str">
        <f>IF(AND(33&lt;&gt;15,Anmeldung!$D$40&lt;&gt;"",Anmeldung!$G$40=Anmeldung!$G$22,Anmeldung!$J$40=Anmeldung!$J$22,(Anmeldung!$B$40&amp;": "&amp;Anmeldung!$D$40&amp;", "&amp;Anmeldung!$E$40&amp;" / "&amp;Anmeldung!$G$40&amp;" / "&amp;Anmeldung!$J$40)&lt;&gt;Anmeldung!$O$22),Anmeldung!$B$40&amp;": "&amp;Anmeldung!$D$40&amp;", "&amp;Anmeldung!$E$40&amp;" / "&amp;Anmeldung!$G$40&amp;" / "&amp;Anmeldung!$J$40,"")</f>
        <v/>
      </c>
      <c r="AJ27" t="str">
        <f>IF(AND(33&lt;&gt;15,Anmeldung!$D$40&lt;&gt;"",Anmeldung!$G$40&lt;&gt;Anmeldung!$G$22,(Anmeldung!$B$40&amp;": "&amp;Anmeldung!$D$40&amp;", "&amp;Anmeldung!$E$40&amp;" / "&amp;Anmeldung!$G$40&amp;" / "&amp;Anmeldung!$J$40)&lt;&gt;Anmeldung!$S$22),Anmeldung!$B$40&amp;": "&amp;Anmeldung!$D$40&amp;", "&amp;Anmeldung!$E$40&amp;" / "&amp;Anmeldung!$G$40&amp;" / "&amp;Anmeldung!$J$40,"")</f>
        <v/>
      </c>
      <c r="AK27" t="str">
        <f>IF(AND(33&lt;&gt;15,Anmeldung!$D$40&lt;&gt;"",(Anmeldung!$B$40&amp;": "&amp;Anmeldung!$D$40&amp;", "&amp;Anmeldung!$E$40&amp;" / "&amp;Anmeldung!$G$40&amp;" / "&amp;Anmeldung!$J$40)&lt;&gt;Anmeldung!$R$22),Anmeldung!$B$40&amp;": "&amp;Anmeldung!$D$40&amp;", "&amp;Anmeldung!$E$40&amp;" / "&amp;Anmeldung!$G$40&amp;" / "&amp;Anmeldung!$J$40,"")</f>
        <v/>
      </c>
      <c r="AL27" t="str">
        <f>IF(AND(32&lt;&gt;14,Anmeldung!$D$40&lt;&gt;"",Anmeldung!$U$40="Ja",Anmeldung!$G$40=Anmeldung!$G$22,Anmeldung!$J$40=Anmeldung!$J$22),Anmeldung!$B$40&amp;": "&amp;Anmeldung!$D$40&amp;", "&amp;Anmeldung!$E$40&amp;" / "&amp;Anmeldung!$G$40&amp;" / "&amp;Anmeldung!$J$40,"")</f>
        <v/>
      </c>
      <c r="AO27" t="str">
        <f>IF(AND(33&lt;&gt;16,Anmeldung!$D$40&lt;&gt;"",Anmeldung!$G$40=Anmeldung!$G$23,Anmeldung!$J$40=Anmeldung!$J$23),Anmeldung!$B$40&amp;": "&amp;Anmeldung!$D$40&amp;", "&amp;Anmeldung!$E$40&amp;" / "&amp;Anmeldung!$G$40&amp;" / "&amp;Anmeldung!$J$40,"")</f>
        <v/>
      </c>
      <c r="AP27" t="str">
        <f>IF(AND(33&lt;&gt;16,Anmeldung!$D$40&lt;&gt;"",Anmeldung!$G$40=Anmeldung!$G$23,Anmeldung!$J$40=Anmeldung!$J$23,(Anmeldung!$B$40&amp;": "&amp;Anmeldung!$D$40&amp;", "&amp;Anmeldung!$E$40&amp;" / "&amp;Anmeldung!$G$40&amp;" / "&amp;Anmeldung!$J$40)&lt;&gt;Anmeldung!$P$23),Anmeldung!$B$40&amp;": "&amp;Anmeldung!$D$40&amp;", "&amp;Anmeldung!$E$40&amp;" / "&amp;Anmeldung!$G$40&amp;" / "&amp;Anmeldung!$J$40,"")</f>
        <v/>
      </c>
      <c r="AQ27" t="str">
        <f>IF(AND(33&lt;&gt;16,Anmeldung!$D$40&lt;&gt;"",Anmeldung!$G$40=Anmeldung!$G$23,Anmeldung!$J$40=Anmeldung!$J$23,(Anmeldung!$B$40&amp;": "&amp;Anmeldung!$D$40&amp;", "&amp;Anmeldung!$E$40&amp;" / "&amp;Anmeldung!$G$40&amp;" / "&amp;Anmeldung!$J$40)&lt;&gt;Anmeldung!$O$23),Anmeldung!$B$40&amp;": "&amp;Anmeldung!$D$40&amp;", "&amp;Anmeldung!$E$40&amp;" / "&amp;Anmeldung!$G$40&amp;" / "&amp;Anmeldung!$J$40,"")</f>
        <v/>
      </c>
      <c r="AR27" t="str">
        <f>IF(AND(33&lt;&gt;16,Anmeldung!$D$40&lt;&gt;"",Anmeldung!$G$40&lt;&gt;Anmeldung!$G$23,(Anmeldung!$B$40&amp;": "&amp;Anmeldung!$D$40&amp;", "&amp;Anmeldung!$E$40&amp;" / "&amp;Anmeldung!$G$40&amp;" / "&amp;Anmeldung!$J$40)&lt;&gt;Anmeldung!$S$23),Anmeldung!$B$40&amp;": "&amp;Anmeldung!$D$40&amp;", "&amp;Anmeldung!$E$40&amp;" / "&amp;Anmeldung!$G$40&amp;" / "&amp;Anmeldung!$J$40,"")</f>
        <v/>
      </c>
      <c r="AS27" t="str">
        <f>IF(AND(33&lt;&gt;16,Anmeldung!$D$40&lt;&gt;"",(Anmeldung!$B$40&amp;": "&amp;Anmeldung!$D$40&amp;", "&amp;Anmeldung!$E$40&amp;" / "&amp;Anmeldung!$G$40&amp;" / "&amp;Anmeldung!$J$40)&lt;&gt;Anmeldung!$R$23),Anmeldung!$B$40&amp;": "&amp;Anmeldung!$D$40&amp;", "&amp;Anmeldung!$E$40&amp;" / "&amp;Anmeldung!$G$40&amp;" / "&amp;Anmeldung!$J$40,"")</f>
        <v/>
      </c>
      <c r="AT27" t="str">
        <f>IF(AND(32&lt;&gt;15,Anmeldung!$D$40&lt;&gt;"",Anmeldung!$U$40="Ja",Anmeldung!$G$40=Anmeldung!$G$23,Anmeldung!$J$40=Anmeldung!$J$23),Anmeldung!$B$40&amp;": "&amp;Anmeldung!$D$40&amp;", "&amp;Anmeldung!$E$40&amp;" / "&amp;Anmeldung!$G$40&amp;" / "&amp;Anmeldung!$J$40,"")</f>
        <v/>
      </c>
      <c r="AW27" t="str">
        <f>IF(AND(33&lt;&gt;17,Anmeldung!$D$40&lt;&gt;"",Anmeldung!$G$40=Anmeldung!$G$24,Anmeldung!$J$40=Anmeldung!$J$24),Anmeldung!$B$40&amp;": "&amp;Anmeldung!$D$40&amp;", "&amp;Anmeldung!$E$40&amp;" / "&amp;Anmeldung!$G$40&amp;" / "&amp;Anmeldung!$J$40,"")</f>
        <v/>
      </c>
      <c r="AX27" t="str">
        <f>IF(AND(33&lt;&gt;17,Anmeldung!$D$40&lt;&gt;"",Anmeldung!$G$40=Anmeldung!$G$24,Anmeldung!$J$40=Anmeldung!$J$24,(Anmeldung!$B$40&amp;": "&amp;Anmeldung!$D$40&amp;", "&amp;Anmeldung!$E$40&amp;" / "&amp;Anmeldung!$G$40&amp;" / "&amp;Anmeldung!$J$40)&lt;&gt;Anmeldung!$P$24),Anmeldung!$B$40&amp;": "&amp;Anmeldung!$D$40&amp;", "&amp;Anmeldung!$E$40&amp;" / "&amp;Anmeldung!$G$40&amp;" / "&amp;Anmeldung!$J$40,"")</f>
        <v/>
      </c>
      <c r="AY27" t="str">
        <f>IF(AND(33&lt;&gt;17,Anmeldung!$D$40&lt;&gt;"",Anmeldung!$G$40=Anmeldung!$G$24,Anmeldung!$J$40=Anmeldung!$J$24,(Anmeldung!$B$40&amp;": "&amp;Anmeldung!$D$40&amp;", "&amp;Anmeldung!$E$40&amp;" / "&amp;Anmeldung!$G$40&amp;" / "&amp;Anmeldung!$J$40)&lt;&gt;Anmeldung!$O$24),Anmeldung!$B$40&amp;": "&amp;Anmeldung!$D$40&amp;", "&amp;Anmeldung!$E$40&amp;" / "&amp;Anmeldung!$G$40&amp;" / "&amp;Anmeldung!$J$40,"")</f>
        <v/>
      </c>
      <c r="AZ27" t="str">
        <f>IF(AND(33&lt;&gt;17,Anmeldung!$D$40&lt;&gt;"",Anmeldung!$G$40&lt;&gt;Anmeldung!$G$24,(Anmeldung!$B$40&amp;": "&amp;Anmeldung!$D$40&amp;", "&amp;Anmeldung!$E$40&amp;" / "&amp;Anmeldung!$G$40&amp;" / "&amp;Anmeldung!$J$40)&lt;&gt;Anmeldung!$S$24),Anmeldung!$B$40&amp;": "&amp;Anmeldung!$D$40&amp;", "&amp;Anmeldung!$E$40&amp;" / "&amp;Anmeldung!$G$40&amp;" / "&amp;Anmeldung!$J$40,"")</f>
        <v/>
      </c>
      <c r="BA27" t="str">
        <f>IF(AND(33&lt;&gt;17,Anmeldung!$D$40&lt;&gt;"",(Anmeldung!$B$40&amp;": "&amp;Anmeldung!$D$40&amp;", "&amp;Anmeldung!$E$40&amp;" / "&amp;Anmeldung!$G$40&amp;" / "&amp;Anmeldung!$J$40)&lt;&gt;Anmeldung!$R$24),Anmeldung!$B$40&amp;": "&amp;Anmeldung!$D$40&amp;", "&amp;Anmeldung!$E$40&amp;" / "&amp;Anmeldung!$G$40&amp;" / "&amp;Anmeldung!$J$40,"")</f>
        <v/>
      </c>
      <c r="BB27" t="str">
        <f>IF(AND(32&lt;&gt;16,Anmeldung!$D$40&lt;&gt;"",Anmeldung!$U$40="Ja",Anmeldung!$G$40=Anmeldung!$G$24,Anmeldung!$J$40=Anmeldung!$J$24),Anmeldung!$B$40&amp;": "&amp;Anmeldung!$D$40&amp;", "&amp;Anmeldung!$E$40&amp;" / "&amp;Anmeldung!$G$40&amp;" / "&amp;Anmeldung!$J$40,"")</f>
        <v/>
      </c>
      <c r="BE27" t="str">
        <f>IF(AND(33&lt;&gt;18,Anmeldung!$D$40&lt;&gt;"",Anmeldung!$G$40=Anmeldung!$G$25,Anmeldung!$J$40=Anmeldung!$J$25),Anmeldung!$B$40&amp;": "&amp;Anmeldung!$D$40&amp;", "&amp;Anmeldung!$E$40&amp;" / "&amp;Anmeldung!$G$40&amp;" / "&amp;Anmeldung!$J$40,"")</f>
        <v/>
      </c>
      <c r="BF27" t="str">
        <f>IF(AND(33&lt;&gt;18,Anmeldung!$D$40&lt;&gt;"",Anmeldung!$G$40=Anmeldung!$G$25,Anmeldung!$J$40=Anmeldung!$J$25,(Anmeldung!$B$40&amp;": "&amp;Anmeldung!$D$40&amp;", "&amp;Anmeldung!$E$40&amp;" / "&amp;Anmeldung!$G$40&amp;" / "&amp;Anmeldung!$J$40)&lt;&gt;Anmeldung!$P$25),Anmeldung!$B$40&amp;": "&amp;Anmeldung!$D$40&amp;", "&amp;Anmeldung!$E$40&amp;" / "&amp;Anmeldung!$G$40&amp;" / "&amp;Anmeldung!$J$40,"")</f>
        <v/>
      </c>
      <c r="BG27" t="str">
        <f>IF(AND(33&lt;&gt;18,Anmeldung!$D$40&lt;&gt;"",Anmeldung!$G$40=Anmeldung!$G$25,Anmeldung!$J$40=Anmeldung!$J$25,(Anmeldung!$B$40&amp;": "&amp;Anmeldung!$D$40&amp;", "&amp;Anmeldung!$E$40&amp;" / "&amp;Anmeldung!$G$40&amp;" / "&amp;Anmeldung!$J$40)&lt;&gt;Anmeldung!$O$25),Anmeldung!$B$40&amp;": "&amp;Anmeldung!$D$40&amp;", "&amp;Anmeldung!$E$40&amp;" / "&amp;Anmeldung!$G$40&amp;" / "&amp;Anmeldung!$J$40,"")</f>
        <v/>
      </c>
      <c r="BH27" t="str">
        <f>IF(AND(33&lt;&gt;18,Anmeldung!$D$40&lt;&gt;"",Anmeldung!$G$40&lt;&gt;Anmeldung!$G$25,(Anmeldung!$B$40&amp;": "&amp;Anmeldung!$D$40&amp;", "&amp;Anmeldung!$E$40&amp;" / "&amp;Anmeldung!$G$40&amp;" / "&amp;Anmeldung!$J$40)&lt;&gt;Anmeldung!$S$25),Anmeldung!$B$40&amp;": "&amp;Anmeldung!$D$40&amp;", "&amp;Anmeldung!$E$40&amp;" / "&amp;Anmeldung!$G$40&amp;" / "&amp;Anmeldung!$J$40,"")</f>
        <v/>
      </c>
      <c r="BI27" t="str">
        <f>IF(AND(33&lt;&gt;18,Anmeldung!$D$40&lt;&gt;"",(Anmeldung!$B$40&amp;": "&amp;Anmeldung!$D$40&amp;", "&amp;Anmeldung!$E$40&amp;" / "&amp;Anmeldung!$G$40&amp;" / "&amp;Anmeldung!$J$40)&lt;&gt;Anmeldung!$R$25),Anmeldung!$B$40&amp;": "&amp;Anmeldung!$D$40&amp;", "&amp;Anmeldung!$E$40&amp;" / "&amp;Anmeldung!$G$40&amp;" / "&amp;Anmeldung!$J$40,"")</f>
        <v/>
      </c>
      <c r="BJ27" t="str">
        <f>IF(AND(32&lt;&gt;17,Anmeldung!$D$40&lt;&gt;"",Anmeldung!$U$40="Ja",Anmeldung!$G$40=Anmeldung!$G$25,Anmeldung!$J$40=Anmeldung!$J$25),Anmeldung!$B$40&amp;": "&amp;Anmeldung!$D$40&amp;", "&amp;Anmeldung!$E$40&amp;" / "&amp;Anmeldung!$G$40&amp;" / "&amp;Anmeldung!$J$40,"")</f>
        <v/>
      </c>
      <c r="BM27" t="str">
        <f>IF(AND(33&lt;&gt;19,Anmeldung!$D$40&lt;&gt;"",Anmeldung!$G$40=Anmeldung!$G$26,Anmeldung!$J$40=Anmeldung!$J$26),Anmeldung!$B$40&amp;": "&amp;Anmeldung!$D$40&amp;", "&amp;Anmeldung!$E$40&amp;" / "&amp;Anmeldung!$G$40&amp;" / "&amp;Anmeldung!$J$40,"")</f>
        <v/>
      </c>
      <c r="BN27" t="str">
        <f>IF(AND(33&lt;&gt;19,Anmeldung!$D$40&lt;&gt;"",Anmeldung!$G$40=Anmeldung!$G$26,Anmeldung!$J$40=Anmeldung!$J$26,(Anmeldung!$B$40&amp;": "&amp;Anmeldung!$D$40&amp;", "&amp;Anmeldung!$E$40&amp;" / "&amp;Anmeldung!$G$40&amp;" / "&amp;Anmeldung!$J$40)&lt;&gt;Anmeldung!$P$26),Anmeldung!$B$40&amp;": "&amp;Anmeldung!$D$40&amp;", "&amp;Anmeldung!$E$40&amp;" / "&amp;Anmeldung!$G$40&amp;" / "&amp;Anmeldung!$J$40,"")</f>
        <v/>
      </c>
      <c r="BO27" t="str">
        <f>IF(AND(33&lt;&gt;19,Anmeldung!$D$40&lt;&gt;"",Anmeldung!$G$40=Anmeldung!$G$26,Anmeldung!$J$40=Anmeldung!$J$26,(Anmeldung!$B$40&amp;": "&amp;Anmeldung!$D$40&amp;", "&amp;Anmeldung!$E$40&amp;" / "&amp;Anmeldung!$G$40&amp;" / "&amp;Anmeldung!$J$40)&lt;&gt;Anmeldung!$O$26),Anmeldung!$B$40&amp;": "&amp;Anmeldung!$D$40&amp;", "&amp;Anmeldung!$E$40&amp;" / "&amp;Anmeldung!$G$40&amp;" / "&amp;Anmeldung!$J$40,"")</f>
        <v/>
      </c>
      <c r="BP27" t="str">
        <f>IF(AND(33&lt;&gt;19,Anmeldung!$D$40&lt;&gt;"",Anmeldung!$G$40&lt;&gt;Anmeldung!$G$26,(Anmeldung!$B$40&amp;": "&amp;Anmeldung!$D$40&amp;", "&amp;Anmeldung!$E$40&amp;" / "&amp;Anmeldung!$G$40&amp;" / "&amp;Anmeldung!$J$40)&lt;&gt;Anmeldung!$S$26),Anmeldung!$B$40&amp;": "&amp;Anmeldung!$D$40&amp;", "&amp;Anmeldung!$E$40&amp;" / "&amp;Anmeldung!$G$40&amp;" / "&amp;Anmeldung!$J$40,"")</f>
        <v/>
      </c>
      <c r="BQ27" t="str">
        <f>IF(AND(33&lt;&gt;19,Anmeldung!$D$40&lt;&gt;"",(Anmeldung!$B$40&amp;": "&amp;Anmeldung!$D$40&amp;", "&amp;Anmeldung!$E$40&amp;" / "&amp;Anmeldung!$G$40&amp;" / "&amp;Anmeldung!$J$40)&lt;&gt;Anmeldung!$R$26),Anmeldung!$B$40&amp;": "&amp;Anmeldung!$D$40&amp;", "&amp;Anmeldung!$E$40&amp;" / "&amp;Anmeldung!$G$40&amp;" / "&amp;Anmeldung!$J$40,"")</f>
        <v/>
      </c>
      <c r="BR27" t="str">
        <f>IF(AND(32&lt;&gt;18,Anmeldung!$D$40&lt;&gt;"",Anmeldung!$U$40="Ja",Anmeldung!$G$40=Anmeldung!$G$26,Anmeldung!$J$40=Anmeldung!$J$26),Anmeldung!$B$40&amp;": "&amp;Anmeldung!$D$40&amp;", "&amp;Anmeldung!$E$40&amp;" / "&amp;Anmeldung!$G$40&amp;" / "&amp;Anmeldung!$J$40,"")</f>
        <v/>
      </c>
      <c r="BU27" t="str">
        <f>IF(AND(33&lt;&gt;20,Anmeldung!$D$40&lt;&gt;"",Anmeldung!$G$40=Anmeldung!$G$27,Anmeldung!$J$40=Anmeldung!$J$27),Anmeldung!$B$40&amp;": "&amp;Anmeldung!$D$40&amp;", "&amp;Anmeldung!$E$40&amp;" / "&amp;Anmeldung!$G$40&amp;" / "&amp;Anmeldung!$J$40,"")</f>
        <v/>
      </c>
      <c r="BV27" t="str">
        <f>IF(AND(33&lt;&gt;20,Anmeldung!$D$40&lt;&gt;"",Anmeldung!$G$40=Anmeldung!$G$27,Anmeldung!$J$40=Anmeldung!$J$27,(Anmeldung!$B$40&amp;": "&amp;Anmeldung!$D$40&amp;", "&amp;Anmeldung!$E$40&amp;" / "&amp;Anmeldung!$G$40&amp;" / "&amp;Anmeldung!$J$40)&lt;&gt;Anmeldung!$P$27),Anmeldung!$B$40&amp;": "&amp;Anmeldung!$D$40&amp;", "&amp;Anmeldung!$E$40&amp;" / "&amp;Anmeldung!$G$40&amp;" / "&amp;Anmeldung!$J$40,"")</f>
        <v/>
      </c>
      <c r="BW27" t="str">
        <f>IF(AND(33&lt;&gt;20,Anmeldung!$D$40&lt;&gt;"",Anmeldung!$G$40=Anmeldung!$G$27,Anmeldung!$J$40=Anmeldung!$J$27,(Anmeldung!$B$40&amp;": "&amp;Anmeldung!$D$40&amp;", "&amp;Anmeldung!$E$40&amp;" / "&amp;Anmeldung!$G$40&amp;" / "&amp;Anmeldung!$J$40)&lt;&gt;Anmeldung!$O$27),Anmeldung!$B$40&amp;": "&amp;Anmeldung!$D$40&amp;", "&amp;Anmeldung!$E$40&amp;" / "&amp;Anmeldung!$G$40&amp;" / "&amp;Anmeldung!$J$40,"")</f>
        <v/>
      </c>
      <c r="BX27" t="str">
        <f>IF(AND(33&lt;&gt;20,Anmeldung!$D$40&lt;&gt;"",Anmeldung!$G$40&lt;&gt;Anmeldung!$G$27,(Anmeldung!$B$40&amp;": "&amp;Anmeldung!$D$40&amp;", "&amp;Anmeldung!$E$40&amp;" / "&amp;Anmeldung!$G$40&amp;" / "&amp;Anmeldung!$J$40)&lt;&gt;Anmeldung!$S$27),Anmeldung!$B$40&amp;": "&amp;Anmeldung!$D$40&amp;", "&amp;Anmeldung!$E$40&amp;" / "&amp;Anmeldung!$G$40&amp;" / "&amp;Anmeldung!$J$40,"")</f>
        <v/>
      </c>
      <c r="BY27" t="str">
        <f>IF(AND(33&lt;&gt;20,Anmeldung!$D$40&lt;&gt;"",(Anmeldung!$B$40&amp;": "&amp;Anmeldung!$D$40&amp;", "&amp;Anmeldung!$E$40&amp;" / "&amp;Anmeldung!$G$40&amp;" / "&amp;Anmeldung!$J$40)&lt;&gt;Anmeldung!$R$27),Anmeldung!$B$40&amp;": "&amp;Anmeldung!$D$40&amp;", "&amp;Anmeldung!$E$40&amp;" / "&amp;Anmeldung!$G$40&amp;" / "&amp;Anmeldung!$J$40,"")</f>
        <v/>
      </c>
      <c r="BZ27" t="str">
        <f>IF(AND(32&lt;&gt;19,Anmeldung!$D$40&lt;&gt;"",Anmeldung!$U$40="Ja",Anmeldung!$G$40=Anmeldung!$G$27,Anmeldung!$J$40=Anmeldung!$J$27),Anmeldung!$B$40&amp;": "&amp;Anmeldung!$D$40&amp;", "&amp;Anmeldung!$E$40&amp;" / "&amp;Anmeldung!$G$40&amp;" / "&amp;Anmeldung!$J$40,"")</f>
        <v/>
      </c>
      <c r="CC27" t="str">
        <f>IF(AND(33&lt;&gt;21,Anmeldung!$D$40&lt;&gt;"",Anmeldung!$G$40=Anmeldung!$G$28,Anmeldung!$J$40=Anmeldung!$J$28),Anmeldung!$B$40&amp;": "&amp;Anmeldung!$D$40&amp;", "&amp;Anmeldung!$E$40&amp;" / "&amp;Anmeldung!$G$40&amp;" / "&amp;Anmeldung!$J$40,"")</f>
        <v/>
      </c>
      <c r="CD27" t="str">
        <f>IF(AND(33&lt;&gt;21,Anmeldung!$D$40&lt;&gt;"",Anmeldung!$G$40=Anmeldung!$G$28,Anmeldung!$J$40=Anmeldung!$J$28,(Anmeldung!$B$40&amp;": "&amp;Anmeldung!$D$40&amp;", "&amp;Anmeldung!$E$40&amp;" / "&amp;Anmeldung!$G$40&amp;" / "&amp;Anmeldung!$J$40)&lt;&gt;Anmeldung!$P$28),Anmeldung!$B$40&amp;": "&amp;Anmeldung!$D$40&amp;", "&amp;Anmeldung!$E$40&amp;" / "&amp;Anmeldung!$G$40&amp;" / "&amp;Anmeldung!$J$40,"")</f>
        <v/>
      </c>
      <c r="CE27" t="str">
        <f>IF(AND(33&lt;&gt;21,Anmeldung!$D$40&lt;&gt;"",Anmeldung!$G$40=Anmeldung!$G$28,Anmeldung!$J$40=Anmeldung!$J$28,(Anmeldung!$B$40&amp;": "&amp;Anmeldung!$D$40&amp;", "&amp;Anmeldung!$E$40&amp;" / "&amp;Anmeldung!$G$40&amp;" / "&amp;Anmeldung!$J$40)&lt;&gt;Anmeldung!$O$28),Anmeldung!$B$40&amp;": "&amp;Anmeldung!$D$40&amp;", "&amp;Anmeldung!$E$40&amp;" / "&amp;Anmeldung!$G$40&amp;" / "&amp;Anmeldung!$J$40,"")</f>
        <v/>
      </c>
      <c r="CF27" t="str">
        <f>IF(AND(33&lt;&gt;21,Anmeldung!$D$40&lt;&gt;"",Anmeldung!$G$40&lt;&gt;Anmeldung!$G$28,(Anmeldung!$B$40&amp;": "&amp;Anmeldung!$D$40&amp;", "&amp;Anmeldung!$E$40&amp;" / "&amp;Anmeldung!$G$40&amp;" / "&amp;Anmeldung!$J$40)&lt;&gt;Anmeldung!$S$28),Anmeldung!$B$40&amp;": "&amp;Anmeldung!$D$40&amp;", "&amp;Anmeldung!$E$40&amp;" / "&amp;Anmeldung!$G$40&amp;" / "&amp;Anmeldung!$J$40,"")</f>
        <v/>
      </c>
      <c r="CG27" t="str">
        <f>IF(AND(33&lt;&gt;21,Anmeldung!$D$40&lt;&gt;"",(Anmeldung!$B$40&amp;": "&amp;Anmeldung!$D$40&amp;", "&amp;Anmeldung!$E$40&amp;" / "&amp;Anmeldung!$G$40&amp;" / "&amp;Anmeldung!$J$40)&lt;&gt;Anmeldung!$R$28),Anmeldung!$B$40&amp;": "&amp;Anmeldung!$D$40&amp;", "&amp;Anmeldung!$E$40&amp;" / "&amp;Anmeldung!$G$40&amp;" / "&amp;Anmeldung!$J$40,"")</f>
        <v/>
      </c>
      <c r="CH27" t="str">
        <f>IF(AND(32&lt;&gt;20,Anmeldung!$D$40&lt;&gt;"",Anmeldung!$U$40="Ja",Anmeldung!$G$40=Anmeldung!$G$28,Anmeldung!$J$40=Anmeldung!$J$28),Anmeldung!$B$40&amp;": "&amp;Anmeldung!$D$40&amp;", "&amp;Anmeldung!$E$40&amp;" / "&amp;Anmeldung!$G$40&amp;" / "&amp;Anmeldung!$J$40,"")</f>
        <v/>
      </c>
      <c r="CK27" t="str">
        <f>IF(AND(33&lt;&gt;22,Anmeldung!$D$40&lt;&gt;"",Anmeldung!$G$40=Anmeldung!$G$29,Anmeldung!$J$40=Anmeldung!$J$29),Anmeldung!$B$40&amp;": "&amp;Anmeldung!$D$40&amp;", "&amp;Anmeldung!$E$40&amp;" / "&amp;Anmeldung!$G$40&amp;" / "&amp;Anmeldung!$J$40,"")</f>
        <v/>
      </c>
      <c r="CL27" t="str">
        <f>IF(AND(33&lt;&gt;22,Anmeldung!$D$40&lt;&gt;"",Anmeldung!$G$40=Anmeldung!$G$29,Anmeldung!$J$40=Anmeldung!$J$29,(Anmeldung!$B$40&amp;": "&amp;Anmeldung!$D$40&amp;", "&amp;Anmeldung!$E$40&amp;" / "&amp;Anmeldung!$G$40&amp;" / "&amp;Anmeldung!$J$40)&lt;&gt;Anmeldung!$P$29),Anmeldung!$B$40&amp;": "&amp;Anmeldung!$D$40&amp;", "&amp;Anmeldung!$E$40&amp;" / "&amp;Anmeldung!$G$40&amp;" / "&amp;Anmeldung!$J$40,"")</f>
        <v/>
      </c>
      <c r="CM27" t="str">
        <f>IF(AND(33&lt;&gt;22,Anmeldung!$D$40&lt;&gt;"",Anmeldung!$G$40=Anmeldung!$G$29,Anmeldung!$J$40=Anmeldung!$J$29,(Anmeldung!$B$40&amp;": "&amp;Anmeldung!$D$40&amp;", "&amp;Anmeldung!$E$40&amp;" / "&amp;Anmeldung!$G$40&amp;" / "&amp;Anmeldung!$J$40)&lt;&gt;Anmeldung!$O$29),Anmeldung!$B$40&amp;": "&amp;Anmeldung!$D$40&amp;", "&amp;Anmeldung!$E$40&amp;" / "&amp;Anmeldung!$G$40&amp;" / "&amp;Anmeldung!$J$40,"")</f>
        <v/>
      </c>
      <c r="CN27" t="str">
        <f>IF(AND(33&lt;&gt;22,Anmeldung!$D$40&lt;&gt;"",Anmeldung!$G$40&lt;&gt;Anmeldung!$G$29,(Anmeldung!$B$40&amp;": "&amp;Anmeldung!$D$40&amp;", "&amp;Anmeldung!$E$40&amp;" / "&amp;Anmeldung!$G$40&amp;" / "&amp;Anmeldung!$J$40)&lt;&gt;Anmeldung!$S$29),Anmeldung!$B$40&amp;": "&amp;Anmeldung!$D$40&amp;", "&amp;Anmeldung!$E$40&amp;" / "&amp;Anmeldung!$G$40&amp;" / "&amp;Anmeldung!$J$40,"")</f>
        <v/>
      </c>
      <c r="CO27" t="str">
        <f>IF(AND(33&lt;&gt;22,Anmeldung!$D$40&lt;&gt;"",(Anmeldung!$B$40&amp;": "&amp;Anmeldung!$D$40&amp;", "&amp;Anmeldung!$E$40&amp;" / "&amp;Anmeldung!$G$40&amp;" / "&amp;Anmeldung!$J$40)&lt;&gt;Anmeldung!$R$29),Anmeldung!$B$40&amp;": "&amp;Anmeldung!$D$40&amp;", "&amp;Anmeldung!$E$40&amp;" / "&amp;Anmeldung!$G$40&amp;" / "&amp;Anmeldung!$J$40,"")</f>
        <v/>
      </c>
      <c r="CP27" t="str">
        <f>IF(AND(32&lt;&gt;21,Anmeldung!$D$40&lt;&gt;"",Anmeldung!$U$40="Ja",Anmeldung!$G$40=Anmeldung!$G$29,Anmeldung!$J$40=Anmeldung!$J$29),Anmeldung!$B$40&amp;": "&amp;Anmeldung!$D$40&amp;", "&amp;Anmeldung!$E$40&amp;" / "&amp;Anmeldung!$G$40&amp;" / "&amp;Anmeldung!$J$40,"")</f>
        <v/>
      </c>
      <c r="CS27" t="str">
        <f>IF(AND(33&lt;&gt;23,Anmeldung!$D$40&lt;&gt;"",Anmeldung!$G$40=Anmeldung!$G$30,Anmeldung!$J$40=Anmeldung!$J$30),Anmeldung!$B$40&amp;": "&amp;Anmeldung!$D$40&amp;", "&amp;Anmeldung!$E$40&amp;" / "&amp;Anmeldung!$G$40&amp;" / "&amp;Anmeldung!$J$40,"")</f>
        <v/>
      </c>
      <c r="CT27" t="str">
        <f>IF(AND(33&lt;&gt;23,Anmeldung!$D$40&lt;&gt;"",Anmeldung!$G$40=Anmeldung!$G$30,Anmeldung!$J$40=Anmeldung!$J$30,(Anmeldung!$B$40&amp;": "&amp;Anmeldung!$D$40&amp;", "&amp;Anmeldung!$E$40&amp;" / "&amp;Anmeldung!$G$40&amp;" / "&amp;Anmeldung!$J$40)&lt;&gt;Anmeldung!$P$30),Anmeldung!$B$40&amp;": "&amp;Anmeldung!$D$40&amp;", "&amp;Anmeldung!$E$40&amp;" / "&amp;Anmeldung!$G$40&amp;" / "&amp;Anmeldung!$J$40,"")</f>
        <v/>
      </c>
      <c r="CU27" t="str">
        <f>IF(AND(33&lt;&gt;23,Anmeldung!$D$40&lt;&gt;"",Anmeldung!$G$40=Anmeldung!$G$30,Anmeldung!$J$40=Anmeldung!$J$30,(Anmeldung!$B$40&amp;": "&amp;Anmeldung!$D$40&amp;", "&amp;Anmeldung!$E$40&amp;" / "&amp;Anmeldung!$G$40&amp;" / "&amp;Anmeldung!$J$40)&lt;&gt;Anmeldung!$O$30),Anmeldung!$B$40&amp;": "&amp;Anmeldung!$D$40&amp;", "&amp;Anmeldung!$E$40&amp;" / "&amp;Anmeldung!$G$40&amp;" / "&amp;Anmeldung!$J$40,"")</f>
        <v/>
      </c>
      <c r="CV27" t="str">
        <f>IF(AND(33&lt;&gt;23,Anmeldung!$D$40&lt;&gt;"",Anmeldung!$G$40&lt;&gt;Anmeldung!$G$30,(Anmeldung!$B$40&amp;": "&amp;Anmeldung!$D$40&amp;", "&amp;Anmeldung!$E$40&amp;" / "&amp;Anmeldung!$G$40&amp;" / "&amp;Anmeldung!$J$40)&lt;&gt;Anmeldung!$S$30),Anmeldung!$B$40&amp;": "&amp;Anmeldung!$D$40&amp;", "&amp;Anmeldung!$E$40&amp;" / "&amp;Anmeldung!$G$40&amp;" / "&amp;Anmeldung!$J$40,"")</f>
        <v/>
      </c>
      <c r="CW27" t="str">
        <f>IF(AND(33&lt;&gt;23,Anmeldung!$D$40&lt;&gt;"",(Anmeldung!$B$40&amp;": "&amp;Anmeldung!$D$40&amp;", "&amp;Anmeldung!$E$40&amp;" / "&amp;Anmeldung!$G$40&amp;" / "&amp;Anmeldung!$J$40)&lt;&gt;Anmeldung!$R$30),Anmeldung!$B$40&amp;": "&amp;Anmeldung!$D$40&amp;", "&amp;Anmeldung!$E$40&amp;" / "&amp;Anmeldung!$G$40&amp;" / "&amp;Anmeldung!$J$40,"")</f>
        <v/>
      </c>
      <c r="CX27" t="str">
        <f>IF(AND(32&lt;&gt;22,Anmeldung!$D$40&lt;&gt;"",Anmeldung!$U$40="Ja",Anmeldung!$G$40=Anmeldung!$G$30,Anmeldung!$J$40=Anmeldung!$J$30),Anmeldung!$B$40&amp;": "&amp;Anmeldung!$D$40&amp;", "&amp;Anmeldung!$E$40&amp;" / "&amp;Anmeldung!$G$40&amp;" / "&amp;Anmeldung!$J$40,"")</f>
        <v/>
      </c>
      <c r="DA27" t="str">
        <f>IF(AND(33&lt;&gt;24,Anmeldung!$D$40&lt;&gt;"",Anmeldung!$G$40=Anmeldung!$G$31,Anmeldung!$J$40=Anmeldung!$J$31),Anmeldung!$B$40&amp;": "&amp;Anmeldung!$D$40&amp;", "&amp;Anmeldung!$E$40&amp;" / "&amp;Anmeldung!$G$40&amp;" / "&amp;Anmeldung!$J$40,"")</f>
        <v/>
      </c>
      <c r="DB27" t="str">
        <f>IF(AND(33&lt;&gt;24,Anmeldung!$D$40&lt;&gt;"",Anmeldung!$G$40=Anmeldung!$G$31,Anmeldung!$J$40=Anmeldung!$J$31,(Anmeldung!$B$40&amp;": "&amp;Anmeldung!$D$40&amp;", "&amp;Anmeldung!$E$40&amp;" / "&amp;Anmeldung!$G$40&amp;" / "&amp;Anmeldung!$J$40)&lt;&gt;Anmeldung!$P$31),Anmeldung!$B$40&amp;": "&amp;Anmeldung!$D$40&amp;", "&amp;Anmeldung!$E$40&amp;" / "&amp;Anmeldung!$G$40&amp;" / "&amp;Anmeldung!$J$40,"")</f>
        <v/>
      </c>
      <c r="DC27" t="str">
        <f>IF(AND(33&lt;&gt;24,Anmeldung!$D$40&lt;&gt;"",Anmeldung!$G$40=Anmeldung!$G$31,Anmeldung!$J$40=Anmeldung!$J$31,(Anmeldung!$B$40&amp;": "&amp;Anmeldung!$D$40&amp;", "&amp;Anmeldung!$E$40&amp;" / "&amp;Anmeldung!$G$40&amp;" / "&amp;Anmeldung!$J$40)&lt;&gt;Anmeldung!$O$31),Anmeldung!$B$40&amp;": "&amp;Anmeldung!$D$40&amp;", "&amp;Anmeldung!$E$40&amp;" / "&amp;Anmeldung!$G$40&amp;" / "&amp;Anmeldung!$J$40,"")</f>
        <v/>
      </c>
      <c r="DD27" t="str">
        <f>IF(AND(33&lt;&gt;24,Anmeldung!$D$40&lt;&gt;"",Anmeldung!$G$40&lt;&gt;Anmeldung!$G$31,(Anmeldung!$B$40&amp;": "&amp;Anmeldung!$D$40&amp;", "&amp;Anmeldung!$E$40&amp;" / "&amp;Anmeldung!$G$40&amp;" / "&amp;Anmeldung!$J$40)&lt;&gt;Anmeldung!$S$31),Anmeldung!$B$40&amp;": "&amp;Anmeldung!$D$40&amp;", "&amp;Anmeldung!$E$40&amp;" / "&amp;Anmeldung!$G$40&amp;" / "&amp;Anmeldung!$J$40,"")</f>
        <v/>
      </c>
      <c r="DE27" t="str">
        <f>IF(AND(33&lt;&gt;24,Anmeldung!$D$40&lt;&gt;"",(Anmeldung!$B$40&amp;": "&amp;Anmeldung!$D$40&amp;", "&amp;Anmeldung!$E$40&amp;" / "&amp;Anmeldung!$G$40&amp;" / "&amp;Anmeldung!$J$40)&lt;&gt;Anmeldung!$R$31),Anmeldung!$B$40&amp;": "&amp;Anmeldung!$D$40&amp;", "&amp;Anmeldung!$E$40&amp;" / "&amp;Anmeldung!$G$40&amp;" / "&amp;Anmeldung!$J$40,"")</f>
        <v/>
      </c>
      <c r="DF27" t="str">
        <f>IF(AND(32&lt;&gt;23,Anmeldung!$D$40&lt;&gt;"",Anmeldung!$U$40="Ja",Anmeldung!$G$40=Anmeldung!$G$31,Anmeldung!$J$40=Anmeldung!$J$31),Anmeldung!$B$40&amp;": "&amp;Anmeldung!$D$40&amp;", "&amp;Anmeldung!$E$40&amp;" / "&amp;Anmeldung!$G$40&amp;" / "&amp;Anmeldung!$J$40,"")</f>
        <v/>
      </c>
      <c r="DI27" t="str">
        <f>IF(AND(33&lt;&gt;25,Anmeldung!$D$40&lt;&gt;"",Anmeldung!$G$40=Anmeldung!$G$32,Anmeldung!$J$40=Anmeldung!$J$32),Anmeldung!$B$40&amp;": "&amp;Anmeldung!$D$40&amp;", "&amp;Anmeldung!$E$40&amp;" / "&amp;Anmeldung!$G$40&amp;" / "&amp;Anmeldung!$J$40,"")</f>
        <v/>
      </c>
      <c r="DJ27" t="str">
        <f>IF(AND(33&lt;&gt;25,Anmeldung!$D$40&lt;&gt;"",Anmeldung!$G$40=Anmeldung!$G$32,Anmeldung!$J$40=Anmeldung!$J$32,(Anmeldung!$B$40&amp;": "&amp;Anmeldung!$D$40&amp;", "&amp;Anmeldung!$E$40&amp;" / "&amp;Anmeldung!$G$40&amp;" / "&amp;Anmeldung!$J$40)&lt;&gt;Anmeldung!$P$32),Anmeldung!$B$40&amp;": "&amp;Anmeldung!$D$40&amp;", "&amp;Anmeldung!$E$40&amp;" / "&amp;Anmeldung!$G$40&amp;" / "&amp;Anmeldung!$J$40,"")</f>
        <v/>
      </c>
      <c r="DK27" t="str">
        <f>IF(AND(33&lt;&gt;25,Anmeldung!$D$40&lt;&gt;"",Anmeldung!$G$40=Anmeldung!$G$32,Anmeldung!$J$40=Anmeldung!$J$32,(Anmeldung!$B$40&amp;": "&amp;Anmeldung!$D$40&amp;", "&amp;Anmeldung!$E$40&amp;" / "&amp;Anmeldung!$G$40&amp;" / "&amp;Anmeldung!$J$40)&lt;&gt;Anmeldung!$O$32),Anmeldung!$B$40&amp;": "&amp;Anmeldung!$D$40&amp;", "&amp;Anmeldung!$E$40&amp;" / "&amp;Anmeldung!$G$40&amp;" / "&amp;Anmeldung!$J$40,"")</f>
        <v/>
      </c>
      <c r="DL27" t="str">
        <f>IF(AND(33&lt;&gt;25,Anmeldung!$D$40&lt;&gt;"",Anmeldung!$G$40&lt;&gt;Anmeldung!$G$32,(Anmeldung!$B$40&amp;": "&amp;Anmeldung!$D$40&amp;", "&amp;Anmeldung!$E$40&amp;" / "&amp;Anmeldung!$G$40&amp;" / "&amp;Anmeldung!$J$40)&lt;&gt;Anmeldung!$S$32),Anmeldung!$B$40&amp;": "&amp;Anmeldung!$D$40&amp;", "&amp;Anmeldung!$E$40&amp;" / "&amp;Anmeldung!$G$40&amp;" / "&amp;Anmeldung!$J$40,"")</f>
        <v/>
      </c>
      <c r="DM27" t="str">
        <f>IF(AND(33&lt;&gt;25,Anmeldung!$D$40&lt;&gt;"",(Anmeldung!$B$40&amp;": "&amp;Anmeldung!$D$40&amp;", "&amp;Anmeldung!$E$40&amp;" / "&amp;Anmeldung!$G$40&amp;" / "&amp;Anmeldung!$J$40)&lt;&gt;Anmeldung!$R$32),Anmeldung!$B$40&amp;": "&amp;Anmeldung!$D$40&amp;", "&amp;Anmeldung!$E$40&amp;" / "&amp;Anmeldung!$G$40&amp;" / "&amp;Anmeldung!$J$40,"")</f>
        <v/>
      </c>
      <c r="DN27" t="str">
        <f>IF(AND(32&lt;&gt;24,Anmeldung!$D$40&lt;&gt;"",Anmeldung!$U$40="Ja",Anmeldung!$G$40=Anmeldung!$G$32,Anmeldung!$J$40=Anmeldung!$J$32),Anmeldung!$B$40&amp;": "&amp;Anmeldung!$D$40&amp;", "&amp;Anmeldung!$E$40&amp;" / "&amp;Anmeldung!$G$40&amp;" / "&amp;Anmeldung!$J$40,"")</f>
        <v/>
      </c>
      <c r="DQ27" t="str">
        <f>IF(AND(33&lt;&gt;26,Anmeldung!$D$40&lt;&gt;"",Anmeldung!$G$40=Anmeldung!$G$33,Anmeldung!$J$40=Anmeldung!$J$33),Anmeldung!$B$40&amp;": "&amp;Anmeldung!$D$40&amp;", "&amp;Anmeldung!$E$40&amp;" / "&amp;Anmeldung!$G$40&amp;" / "&amp;Anmeldung!$J$40,"")</f>
        <v/>
      </c>
      <c r="DR27" t="str">
        <f>IF(AND(33&lt;&gt;26,Anmeldung!$D$40&lt;&gt;"",Anmeldung!$G$40=Anmeldung!$G$33,Anmeldung!$J$40=Anmeldung!$J$33,(Anmeldung!$B$40&amp;": "&amp;Anmeldung!$D$40&amp;", "&amp;Anmeldung!$E$40&amp;" / "&amp;Anmeldung!$G$40&amp;" / "&amp;Anmeldung!$J$40)&lt;&gt;Anmeldung!$P$33),Anmeldung!$B$40&amp;": "&amp;Anmeldung!$D$40&amp;", "&amp;Anmeldung!$E$40&amp;" / "&amp;Anmeldung!$G$40&amp;" / "&amp;Anmeldung!$J$40,"")</f>
        <v/>
      </c>
      <c r="DS27" t="str">
        <f>IF(AND(33&lt;&gt;26,Anmeldung!$D$40&lt;&gt;"",Anmeldung!$G$40=Anmeldung!$G$33,Anmeldung!$J$40=Anmeldung!$J$33,(Anmeldung!$B$40&amp;": "&amp;Anmeldung!$D$40&amp;", "&amp;Anmeldung!$E$40&amp;" / "&amp;Anmeldung!$G$40&amp;" / "&amp;Anmeldung!$J$40)&lt;&gt;Anmeldung!$O$33),Anmeldung!$B$40&amp;": "&amp;Anmeldung!$D$40&amp;", "&amp;Anmeldung!$E$40&amp;" / "&amp;Anmeldung!$G$40&amp;" / "&amp;Anmeldung!$J$40,"")</f>
        <v/>
      </c>
      <c r="DT27" t="str">
        <f>IF(AND(33&lt;&gt;26,Anmeldung!$D$40&lt;&gt;"",Anmeldung!$G$40&lt;&gt;Anmeldung!$G$33,(Anmeldung!$B$40&amp;": "&amp;Anmeldung!$D$40&amp;", "&amp;Anmeldung!$E$40&amp;" / "&amp;Anmeldung!$G$40&amp;" / "&amp;Anmeldung!$J$40)&lt;&gt;Anmeldung!$S$33),Anmeldung!$B$40&amp;": "&amp;Anmeldung!$D$40&amp;", "&amp;Anmeldung!$E$40&amp;" / "&amp;Anmeldung!$G$40&amp;" / "&amp;Anmeldung!$J$40,"")</f>
        <v/>
      </c>
      <c r="DU27" t="str">
        <f>IF(AND(33&lt;&gt;26,Anmeldung!$D$40&lt;&gt;"",(Anmeldung!$B$40&amp;": "&amp;Anmeldung!$D$40&amp;", "&amp;Anmeldung!$E$40&amp;" / "&amp;Anmeldung!$G$40&amp;" / "&amp;Anmeldung!$J$40)&lt;&gt;Anmeldung!$R$33),Anmeldung!$B$40&amp;": "&amp;Anmeldung!$D$40&amp;", "&amp;Anmeldung!$E$40&amp;" / "&amp;Anmeldung!$G$40&amp;" / "&amp;Anmeldung!$J$40,"")</f>
        <v/>
      </c>
      <c r="DV27" t="str">
        <f>IF(AND(32&lt;&gt;25,Anmeldung!$D$40&lt;&gt;"",Anmeldung!$U$40="Ja",Anmeldung!$G$40=Anmeldung!$G$33,Anmeldung!$J$40=Anmeldung!$J$33),Anmeldung!$B$40&amp;": "&amp;Anmeldung!$D$40&amp;", "&amp;Anmeldung!$E$40&amp;" / "&amp;Anmeldung!$G$40&amp;" / "&amp;Anmeldung!$J$40,"")</f>
        <v/>
      </c>
      <c r="DY27" t="str">
        <f>IF(AND(33&lt;&gt;27,Anmeldung!$D$40&lt;&gt;"",Anmeldung!$G$40=Anmeldung!$G$34,Anmeldung!$J$40=Anmeldung!$J$34),Anmeldung!$B$40&amp;": "&amp;Anmeldung!$D$40&amp;", "&amp;Anmeldung!$E$40&amp;" / "&amp;Anmeldung!$G$40&amp;" / "&amp;Anmeldung!$J$40,"")</f>
        <v/>
      </c>
      <c r="DZ27" t="str">
        <f>IF(AND(33&lt;&gt;27,Anmeldung!$D$40&lt;&gt;"",Anmeldung!$G$40=Anmeldung!$G$34,Anmeldung!$J$40=Anmeldung!$J$34,(Anmeldung!$B$40&amp;": "&amp;Anmeldung!$D$40&amp;", "&amp;Anmeldung!$E$40&amp;" / "&amp;Anmeldung!$G$40&amp;" / "&amp;Anmeldung!$J$40)&lt;&gt;Anmeldung!$P$34),Anmeldung!$B$40&amp;": "&amp;Anmeldung!$D$40&amp;", "&amp;Anmeldung!$E$40&amp;" / "&amp;Anmeldung!$G$40&amp;" / "&amp;Anmeldung!$J$40,"")</f>
        <v/>
      </c>
      <c r="EA27" t="str">
        <f>IF(AND(33&lt;&gt;27,Anmeldung!$D$40&lt;&gt;"",Anmeldung!$G$40=Anmeldung!$G$34,Anmeldung!$J$40=Anmeldung!$J$34,(Anmeldung!$B$40&amp;": "&amp;Anmeldung!$D$40&amp;", "&amp;Anmeldung!$E$40&amp;" / "&amp;Anmeldung!$G$40&amp;" / "&amp;Anmeldung!$J$40)&lt;&gt;Anmeldung!$O$34),Anmeldung!$B$40&amp;": "&amp;Anmeldung!$D$40&amp;", "&amp;Anmeldung!$E$40&amp;" / "&amp;Anmeldung!$G$40&amp;" / "&amp;Anmeldung!$J$40,"")</f>
        <v/>
      </c>
      <c r="EB27" t="str">
        <f>IF(AND(33&lt;&gt;27,Anmeldung!$D$40&lt;&gt;"",Anmeldung!$G$40&lt;&gt;Anmeldung!$G$34,(Anmeldung!$B$40&amp;": "&amp;Anmeldung!$D$40&amp;", "&amp;Anmeldung!$E$40&amp;" / "&amp;Anmeldung!$G$40&amp;" / "&amp;Anmeldung!$J$40)&lt;&gt;Anmeldung!$S$34),Anmeldung!$B$40&amp;": "&amp;Anmeldung!$D$40&amp;", "&amp;Anmeldung!$E$40&amp;" / "&amp;Anmeldung!$G$40&amp;" / "&amp;Anmeldung!$J$40,"")</f>
        <v/>
      </c>
      <c r="EC27" t="str">
        <f>IF(AND(33&lt;&gt;27,Anmeldung!$D$40&lt;&gt;"",(Anmeldung!$B$40&amp;": "&amp;Anmeldung!$D$40&amp;", "&amp;Anmeldung!$E$40&amp;" / "&amp;Anmeldung!$G$40&amp;" / "&amp;Anmeldung!$J$40)&lt;&gt;Anmeldung!$R$34),Anmeldung!$B$40&amp;": "&amp;Anmeldung!$D$40&amp;", "&amp;Anmeldung!$E$40&amp;" / "&amp;Anmeldung!$G$40&amp;" / "&amp;Anmeldung!$J$40,"")</f>
        <v/>
      </c>
      <c r="ED27" t="str">
        <f>IF(AND(32&lt;&gt;26,Anmeldung!$D$40&lt;&gt;"",Anmeldung!$U$40="Ja",Anmeldung!$G$40=Anmeldung!$G$34,Anmeldung!$J$40=Anmeldung!$J$34),Anmeldung!$B$40&amp;": "&amp;Anmeldung!$D$40&amp;", "&amp;Anmeldung!$E$40&amp;" / "&amp;Anmeldung!$G$40&amp;" / "&amp;Anmeldung!$J$40,"")</f>
        <v/>
      </c>
      <c r="EG27" t="str">
        <f>IF(AND(33&lt;&gt;28,Anmeldung!$D$40&lt;&gt;"",Anmeldung!$G$40=Anmeldung!$G$35,Anmeldung!$J$40=Anmeldung!$J$35),Anmeldung!$B$40&amp;": "&amp;Anmeldung!$D$40&amp;", "&amp;Anmeldung!$E$40&amp;" / "&amp;Anmeldung!$G$40&amp;" / "&amp;Anmeldung!$J$40,"")</f>
        <v/>
      </c>
      <c r="EH27" t="str">
        <f>IF(AND(33&lt;&gt;28,Anmeldung!$D$40&lt;&gt;"",Anmeldung!$G$40=Anmeldung!$G$35,Anmeldung!$J$40=Anmeldung!$J$35,(Anmeldung!$B$40&amp;": "&amp;Anmeldung!$D$40&amp;", "&amp;Anmeldung!$E$40&amp;" / "&amp;Anmeldung!$G$40&amp;" / "&amp;Anmeldung!$J$40)&lt;&gt;Anmeldung!$P$35),Anmeldung!$B$40&amp;": "&amp;Anmeldung!$D$40&amp;", "&amp;Anmeldung!$E$40&amp;" / "&amp;Anmeldung!$G$40&amp;" / "&amp;Anmeldung!$J$40,"")</f>
        <v/>
      </c>
      <c r="EI27" t="str">
        <f>IF(AND(33&lt;&gt;28,Anmeldung!$D$40&lt;&gt;"",Anmeldung!$G$40=Anmeldung!$G$35,Anmeldung!$J$40=Anmeldung!$J$35,(Anmeldung!$B$40&amp;": "&amp;Anmeldung!$D$40&amp;", "&amp;Anmeldung!$E$40&amp;" / "&amp;Anmeldung!$G$40&amp;" / "&amp;Anmeldung!$J$40)&lt;&gt;Anmeldung!$O$35),Anmeldung!$B$40&amp;": "&amp;Anmeldung!$D$40&amp;", "&amp;Anmeldung!$E$40&amp;" / "&amp;Anmeldung!$G$40&amp;" / "&amp;Anmeldung!$J$40,"")</f>
        <v/>
      </c>
      <c r="EJ27" t="str">
        <f>IF(AND(33&lt;&gt;28,Anmeldung!$D$40&lt;&gt;"",Anmeldung!$G$40&lt;&gt;Anmeldung!$G$35,(Anmeldung!$B$40&amp;": "&amp;Anmeldung!$D$40&amp;", "&amp;Anmeldung!$E$40&amp;" / "&amp;Anmeldung!$G$40&amp;" / "&amp;Anmeldung!$J$40)&lt;&gt;Anmeldung!$S$35),Anmeldung!$B$40&amp;": "&amp;Anmeldung!$D$40&amp;", "&amp;Anmeldung!$E$40&amp;" / "&amp;Anmeldung!$G$40&amp;" / "&amp;Anmeldung!$J$40,"")</f>
        <v/>
      </c>
      <c r="EK27" t="str">
        <f>IF(AND(33&lt;&gt;28,Anmeldung!$D$40&lt;&gt;"",(Anmeldung!$B$40&amp;": "&amp;Anmeldung!$D$40&amp;", "&amp;Anmeldung!$E$40&amp;" / "&amp;Anmeldung!$G$40&amp;" / "&amp;Anmeldung!$J$40)&lt;&gt;Anmeldung!$R$35),Anmeldung!$B$40&amp;": "&amp;Anmeldung!$D$40&amp;", "&amp;Anmeldung!$E$40&amp;" / "&amp;Anmeldung!$G$40&amp;" / "&amp;Anmeldung!$J$40,"")</f>
        <v/>
      </c>
      <c r="EL27" t="str">
        <f>IF(AND(32&lt;&gt;27,Anmeldung!$D$40&lt;&gt;"",Anmeldung!$U$40="Ja",Anmeldung!$G$40=Anmeldung!$G$35,Anmeldung!$J$40=Anmeldung!$J$35),Anmeldung!$B$40&amp;": "&amp;Anmeldung!$D$40&amp;", "&amp;Anmeldung!$E$40&amp;" / "&amp;Anmeldung!$G$40&amp;" / "&amp;Anmeldung!$J$40,"")</f>
        <v/>
      </c>
      <c r="EO27" t="str">
        <f>IF(AND(33&lt;&gt;29,Anmeldung!$D$40&lt;&gt;"",Anmeldung!$G$40=Anmeldung!$G$36,Anmeldung!$J$40=Anmeldung!$J$36),Anmeldung!$B$40&amp;": "&amp;Anmeldung!$D$40&amp;", "&amp;Anmeldung!$E$40&amp;" / "&amp;Anmeldung!$G$40&amp;" / "&amp;Anmeldung!$J$40,"")</f>
        <v/>
      </c>
      <c r="EP27" t="str">
        <f>IF(AND(33&lt;&gt;29,Anmeldung!$D$40&lt;&gt;"",Anmeldung!$G$40=Anmeldung!$G$36,Anmeldung!$J$40=Anmeldung!$J$36,(Anmeldung!$B$40&amp;": "&amp;Anmeldung!$D$40&amp;", "&amp;Anmeldung!$E$40&amp;" / "&amp;Anmeldung!$G$40&amp;" / "&amp;Anmeldung!$J$40)&lt;&gt;Anmeldung!$P$36),Anmeldung!$B$40&amp;": "&amp;Anmeldung!$D$40&amp;", "&amp;Anmeldung!$E$40&amp;" / "&amp;Anmeldung!$G$40&amp;" / "&amp;Anmeldung!$J$40,"")</f>
        <v/>
      </c>
      <c r="EQ27" t="str">
        <f>IF(AND(33&lt;&gt;29,Anmeldung!$D$40&lt;&gt;"",Anmeldung!$G$40=Anmeldung!$G$36,Anmeldung!$J$40=Anmeldung!$J$36,(Anmeldung!$B$40&amp;": "&amp;Anmeldung!$D$40&amp;", "&amp;Anmeldung!$E$40&amp;" / "&amp;Anmeldung!$G$40&amp;" / "&amp;Anmeldung!$J$40)&lt;&gt;Anmeldung!$O$36),Anmeldung!$B$40&amp;": "&amp;Anmeldung!$D$40&amp;", "&amp;Anmeldung!$E$40&amp;" / "&amp;Anmeldung!$G$40&amp;" / "&amp;Anmeldung!$J$40,"")</f>
        <v/>
      </c>
      <c r="ER27" t="str">
        <f>IF(AND(33&lt;&gt;29,Anmeldung!$D$40&lt;&gt;"",Anmeldung!$G$40&lt;&gt;Anmeldung!$G$36,(Anmeldung!$B$40&amp;": "&amp;Anmeldung!$D$40&amp;", "&amp;Anmeldung!$E$40&amp;" / "&amp;Anmeldung!$G$40&amp;" / "&amp;Anmeldung!$J$40)&lt;&gt;Anmeldung!$S$36),Anmeldung!$B$40&amp;": "&amp;Anmeldung!$D$40&amp;", "&amp;Anmeldung!$E$40&amp;" / "&amp;Anmeldung!$G$40&amp;" / "&amp;Anmeldung!$J$40,"")</f>
        <v/>
      </c>
      <c r="ES27" t="str">
        <f>IF(AND(33&lt;&gt;29,Anmeldung!$D$40&lt;&gt;"",(Anmeldung!$B$40&amp;": "&amp;Anmeldung!$D$40&amp;", "&amp;Anmeldung!$E$40&amp;" / "&amp;Anmeldung!$G$40&amp;" / "&amp;Anmeldung!$J$40)&lt;&gt;Anmeldung!$R$36),Anmeldung!$B$40&amp;": "&amp;Anmeldung!$D$40&amp;", "&amp;Anmeldung!$E$40&amp;" / "&amp;Anmeldung!$G$40&amp;" / "&amp;Anmeldung!$J$40,"")</f>
        <v/>
      </c>
      <c r="ET27" t="str">
        <f>IF(AND(32&lt;&gt;28,Anmeldung!$D$40&lt;&gt;"",Anmeldung!$U$40="Ja",Anmeldung!$G$40=Anmeldung!$G$36,Anmeldung!$J$40=Anmeldung!$J$36),Anmeldung!$B$40&amp;": "&amp;Anmeldung!$D$40&amp;", "&amp;Anmeldung!$E$40&amp;" / "&amp;Anmeldung!$G$40&amp;" / "&amp;Anmeldung!$J$40,"")</f>
        <v/>
      </c>
      <c r="EW27" t="str">
        <f>IF(AND(33&lt;&gt;30,Anmeldung!$D$40&lt;&gt;"",Anmeldung!$G$40=Anmeldung!$G$37,Anmeldung!$J$40=Anmeldung!$J$37),Anmeldung!$B$40&amp;": "&amp;Anmeldung!$D$40&amp;", "&amp;Anmeldung!$E$40&amp;" / "&amp;Anmeldung!$G$40&amp;" / "&amp;Anmeldung!$J$40,"")</f>
        <v/>
      </c>
      <c r="EX27" t="str">
        <f>IF(AND(33&lt;&gt;30,Anmeldung!$D$40&lt;&gt;"",Anmeldung!$G$40=Anmeldung!$G$37,Anmeldung!$J$40=Anmeldung!$J$37,(Anmeldung!$B$40&amp;": "&amp;Anmeldung!$D$40&amp;", "&amp;Anmeldung!$E$40&amp;" / "&amp;Anmeldung!$G$40&amp;" / "&amp;Anmeldung!$J$40)&lt;&gt;Anmeldung!$P$37),Anmeldung!$B$40&amp;": "&amp;Anmeldung!$D$40&amp;", "&amp;Anmeldung!$E$40&amp;" / "&amp;Anmeldung!$G$40&amp;" / "&amp;Anmeldung!$J$40,"")</f>
        <v/>
      </c>
      <c r="EY27" t="str">
        <f>IF(AND(33&lt;&gt;30,Anmeldung!$D$40&lt;&gt;"",Anmeldung!$G$40=Anmeldung!$G$37,Anmeldung!$J$40=Anmeldung!$J$37,(Anmeldung!$B$40&amp;": "&amp;Anmeldung!$D$40&amp;", "&amp;Anmeldung!$E$40&amp;" / "&amp;Anmeldung!$G$40&amp;" / "&amp;Anmeldung!$J$40)&lt;&gt;Anmeldung!$O$37),Anmeldung!$B$40&amp;": "&amp;Anmeldung!$D$40&amp;", "&amp;Anmeldung!$E$40&amp;" / "&amp;Anmeldung!$G$40&amp;" / "&amp;Anmeldung!$J$40,"")</f>
        <v/>
      </c>
      <c r="EZ27" t="str">
        <f>IF(AND(33&lt;&gt;30,Anmeldung!$D$40&lt;&gt;"",Anmeldung!$G$40&lt;&gt;Anmeldung!$G$37,(Anmeldung!$B$40&amp;": "&amp;Anmeldung!$D$40&amp;", "&amp;Anmeldung!$E$40&amp;" / "&amp;Anmeldung!$G$40&amp;" / "&amp;Anmeldung!$J$40)&lt;&gt;Anmeldung!$S$37),Anmeldung!$B$40&amp;": "&amp;Anmeldung!$D$40&amp;", "&amp;Anmeldung!$E$40&amp;" / "&amp;Anmeldung!$G$40&amp;" / "&amp;Anmeldung!$J$40,"")</f>
        <v/>
      </c>
      <c r="FA27" t="str">
        <f>IF(AND(33&lt;&gt;30,Anmeldung!$D$40&lt;&gt;"",(Anmeldung!$B$40&amp;": "&amp;Anmeldung!$D$40&amp;", "&amp;Anmeldung!$E$40&amp;" / "&amp;Anmeldung!$G$40&amp;" / "&amp;Anmeldung!$J$40)&lt;&gt;Anmeldung!$R$37),Anmeldung!$B$40&amp;": "&amp;Anmeldung!$D$40&amp;", "&amp;Anmeldung!$E$40&amp;" / "&amp;Anmeldung!$G$40&amp;" / "&amp;Anmeldung!$J$40,"")</f>
        <v/>
      </c>
      <c r="FB27" t="str">
        <f>IF(AND(32&lt;&gt;29,Anmeldung!$D$40&lt;&gt;"",Anmeldung!$U$40="Ja",Anmeldung!$G$40=Anmeldung!$G$37,Anmeldung!$J$40=Anmeldung!$J$37),Anmeldung!$B$40&amp;": "&amp;Anmeldung!$D$40&amp;", "&amp;Anmeldung!$E$40&amp;" / "&amp;Anmeldung!$G$40&amp;" / "&amp;Anmeldung!$J$40,"")</f>
        <v/>
      </c>
      <c r="FE27" t="str">
        <f>IF(AND(33&lt;&gt;31,Anmeldung!$D$40&lt;&gt;"",Anmeldung!$G$40=Anmeldung!$G$38,Anmeldung!$J$40=Anmeldung!$J$38),Anmeldung!$B$40&amp;": "&amp;Anmeldung!$D$40&amp;", "&amp;Anmeldung!$E$40&amp;" / "&amp;Anmeldung!$G$40&amp;" / "&amp;Anmeldung!$J$40,"")</f>
        <v/>
      </c>
      <c r="FF27" t="str">
        <f>IF(AND(33&lt;&gt;31,Anmeldung!$D$40&lt;&gt;"",Anmeldung!$G$40=Anmeldung!$G$38,Anmeldung!$J$40=Anmeldung!$J$38,(Anmeldung!$B$40&amp;": "&amp;Anmeldung!$D$40&amp;", "&amp;Anmeldung!$E$40&amp;" / "&amp;Anmeldung!$G$40&amp;" / "&amp;Anmeldung!$J$40)&lt;&gt;Anmeldung!$P$38),Anmeldung!$B$40&amp;": "&amp;Anmeldung!$D$40&amp;", "&amp;Anmeldung!$E$40&amp;" / "&amp;Anmeldung!$G$40&amp;" / "&amp;Anmeldung!$J$40,"")</f>
        <v/>
      </c>
      <c r="FG27" t="str">
        <f>IF(AND(33&lt;&gt;31,Anmeldung!$D$40&lt;&gt;"",Anmeldung!$G$40=Anmeldung!$G$38,Anmeldung!$J$40=Anmeldung!$J$38,(Anmeldung!$B$40&amp;": "&amp;Anmeldung!$D$40&amp;", "&amp;Anmeldung!$E$40&amp;" / "&amp;Anmeldung!$G$40&amp;" / "&amp;Anmeldung!$J$40)&lt;&gt;Anmeldung!$O$38),Anmeldung!$B$40&amp;": "&amp;Anmeldung!$D$40&amp;", "&amp;Anmeldung!$E$40&amp;" / "&amp;Anmeldung!$G$40&amp;" / "&amp;Anmeldung!$J$40,"")</f>
        <v/>
      </c>
      <c r="FH27" t="str">
        <f>IF(AND(33&lt;&gt;31,Anmeldung!$D$40&lt;&gt;"",Anmeldung!$G$40&lt;&gt;Anmeldung!$G$38,(Anmeldung!$B$40&amp;": "&amp;Anmeldung!$D$40&amp;", "&amp;Anmeldung!$E$40&amp;" / "&amp;Anmeldung!$G$40&amp;" / "&amp;Anmeldung!$J$40)&lt;&gt;Anmeldung!$S$38),Anmeldung!$B$40&amp;": "&amp;Anmeldung!$D$40&amp;", "&amp;Anmeldung!$E$40&amp;" / "&amp;Anmeldung!$G$40&amp;" / "&amp;Anmeldung!$J$40,"")</f>
        <v/>
      </c>
      <c r="FI27" t="str">
        <f>IF(AND(33&lt;&gt;31,Anmeldung!$D$40&lt;&gt;"",(Anmeldung!$B$40&amp;": "&amp;Anmeldung!$D$40&amp;", "&amp;Anmeldung!$E$40&amp;" / "&amp;Anmeldung!$G$40&amp;" / "&amp;Anmeldung!$J$40)&lt;&gt;Anmeldung!$R$38),Anmeldung!$B$40&amp;": "&amp;Anmeldung!$D$40&amp;", "&amp;Anmeldung!$E$40&amp;" / "&amp;Anmeldung!$G$40&amp;" / "&amp;Anmeldung!$J$40,"")</f>
        <v/>
      </c>
      <c r="FJ27" t="str">
        <f>IF(AND(32&lt;&gt;30,Anmeldung!$D$40&lt;&gt;"",Anmeldung!$U$40="Ja",Anmeldung!$G$40=Anmeldung!$G$38,Anmeldung!$J$40=Anmeldung!$J$38),Anmeldung!$B$40&amp;": "&amp;Anmeldung!$D$40&amp;", "&amp;Anmeldung!$E$40&amp;" / "&amp;Anmeldung!$G$40&amp;" / "&amp;Anmeldung!$J$40,"")</f>
        <v/>
      </c>
      <c r="FM27" t="str">
        <f>IF(AND(33&lt;&gt;32,Anmeldung!$D$40&lt;&gt;"",Anmeldung!$G$40=Anmeldung!$G$39,Anmeldung!$J$40=Anmeldung!$J$39),Anmeldung!$B$40&amp;": "&amp;Anmeldung!$D$40&amp;", "&amp;Anmeldung!$E$40&amp;" / "&amp;Anmeldung!$G$40&amp;" / "&amp;Anmeldung!$J$40,"")</f>
        <v/>
      </c>
      <c r="FN27" t="str">
        <f>IF(AND(33&lt;&gt;32,Anmeldung!$D$40&lt;&gt;"",Anmeldung!$G$40=Anmeldung!$G$39,Anmeldung!$J$40=Anmeldung!$J$39,(Anmeldung!$B$40&amp;": "&amp;Anmeldung!$D$40&amp;", "&amp;Anmeldung!$E$40&amp;" / "&amp;Anmeldung!$G$40&amp;" / "&amp;Anmeldung!$J$40)&lt;&gt;Anmeldung!$P$39),Anmeldung!$B$40&amp;": "&amp;Anmeldung!$D$40&amp;", "&amp;Anmeldung!$E$40&amp;" / "&amp;Anmeldung!$G$40&amp;" / "&amp;Anmeldung!$J$40,"")</f>
        <v/>
      </c>
      <c r="FO27" t="str">
        <f>IF(AND(33&lt;&gt;32,Anmeldung!$D$40&lt;&gt;"",Anmeldung!$G$40=Anmeldung!$G$39,Anmeldung!$J$40=Anmeldung!$J$39,(Anmeldung!$B$40&amp;": "&amp;Anmeldung!$D$40&amp;", "&amp;Anmeldung!$E$40&amp;" / "&amp;Anmeldung!$G$40&amp;" / "&amp;Anmeldung!$J$40)&lt;&gt;Anmeldung!$O$39),Anmeldung!$B$40&amp;": "&amp;Anmeldung!$D$40&amp;", "&amp;Anmeldung!$E$40&amp;" / "&amp;Anmeldung!$G$40&amp;" / "&amp;Anmeldung!$J$40,"")</f>
        <v/>
      </c>
      <c r="FP27" t="str">
        <f>IF(AND(33&lt;&gt;32,Anmeldung!$D$40&lt;&gt;"",Anmeldung!$G$40&lt;&gt;Anmeldung!$G$39,(Anmeldung!$B$40&amp;": "&amp;Anmeldung!$D$40&amp;", "&amp;Anmeldung!$E$40&amp;" / "&amp;Anmeldung!$G$40&amp;" / "&amp;Anmeldung!$J$40)&lt;&gt;Anmeldung!$S$39),Anmeldung!$B$40&amp;": "&amp;Anmeldung!$D$40&amp;", "&amp;Anmeldung!$E$40&amp;" / "&amp;Anmeldung!$G$40&amp;" / "&amp;Anmeldung!$J$40,"")</f>
        <v/>
      </c>
      <c r="FQ27" t="str">
        <f>IF(AND(33&lt;&gt;32,Anmeldung!$D$40&lt;&gt;"",(Anmeldung!$B$40&amp;": "&amp;Anmeldung!$D$40&amp;", "&amp;Anmeldung!$E$40&amp;" / "&amp;Anmeldung!$G$40&amp;" / "&amp;Anmeldung!$J$40)&lt;&gt;Anmeldung!$R$39),Anmeldung!$B$40&amp;": "&amp;Anmeldung!$D$40&amp;", "&amp;Anmeldung!$E$40&amp;" / "&amp;Anmeldung!$G$40&amp;" / "&amp;Anmeldung!$J$40,"")</f>
        <v/>
      </c>
      <c r="FR27" t="str">
        <f>IF(AND(32&lt;&gt;31,Anmeldung!$D$40&lt;&gt;"",Anmeldung!$U$40="Ja",Anmeldung!$G$40=Anmeldung!$G$39,Anmeldung!$J$40=Anmeldung!$J$39),Anmeldung!$B$40&amp;": "&amp;Anmeldung!$D$40&amp;", "&amp;Anmeldung!$E$40&amp;" / "&amp;Anmeldung!$G$40&amp;" / "&amp;Anmeldung!$J$40,"")</f>
        <v/>
      </c>
      <c r="FU27" t="str">
        <f>IF(AND(33&lt;&gt;33,Anmeldung!$D$40&lt;&gt;"",Anmeldung!$G$40=Anmeldung!$G$40,Anmeldung!$J$40=Anmeldung!$J$40),Anmeldung!$B$40&amp;": "&amp;Anmeldung!$D$40&amp;", "&amp;Anmeldung!$E$40&amp;" / "&amp;Anmeldung!$G$40&amp;" / "&amp;Anmeldung!$J$40,"")</f>
        <v/>
      </c>
      <c r="FV27" t="str">
        <f>IF(AND(33&lt;&gt;33,Anmeldung!$D$40&lt;&gt;"",Anmeldung!$G$40=Anmeldung!$G$40,Anmeldung!$J$40=Anmeldung!$J$40,(Anmeldung!$B$40&amp;": "&amp;Anmeldung!$D$40&amp;", "&amp;Anmeldung!$E$40&amp;" / "&amp;Anmeldung!$G$40&amp;" / "&amp;Anmeldung!$J$40)&lt;&gt;Anmeldung!$P$40),Anmeldung!$B$40&amp;": "&amp;Anmeldung!$D$40&amp;", "&amp;Anmeldung!$E$40&amp;" / "&amp;Anmeldung!$G$40&amp;" / "&amp;Anmeldung!$J$40,"")</f>
        <v/>
      </c>
      <c r="FW27" t="str">
        <f>IF(AND(33&lt;&gt;33,Anmeldung!$D$40&lt;&gt;"",Anmeldung!$G$40=Anmeldung!$G$40,Anmeldung!$J$40=Anmeldung!$J$40,(Anmeldung!$B$40&amp;": "&amp;Anmeldung!$D$40&amp;", "&amp;Anmeldung!$E$40&amp;" / "&amp;Anmeldung!$G$40&amp;" / "&amp;Anmeldung!$J$40)&lt;&gt;Anmeldung!$O$40),Anmeldung!$B$40&amp;": "&amp;Anmeldung!$D$40&amp;", "&amp;Anmeldung!$E$40&amp;" / "&amp;Anmeldung!$G$40&amp;" / "&amp;Anmeldung!$J$40,"")</f>
        <v/>
      </c>
      <c r="FX27" t="str">
        <f>IF(AND(33&lt;&gt;33,Anmeldung!$D$40&lt;&gt;"",Anmeldung!$G$40&lt;&gt;Anmeldung!$G$40,(Anmeldung!$B$40&amp;": "&amp;Anmeldung!$D$40&amp;", "&amp;Anmeldung!$E$40&amp;" / "&amp;Anmeldung!$G$40&amp;" / "&amp;Anmeldung!$J$40)&lt;&gt;Anmeldung!$S$40),Anmeldung!$B$40&amp;": "&amp;Anmeldung!$D$40&amp;", "&amp;Anmeldung!$E$40&amp;" / "&amp;Anmeldung!$G$40&amp;" / "&amp;Anmeldung!$J$40,"")</f>
        <v/>
      </c>
      <c r="FY27" t="str">
        <f>IF(AND(33&lt;&gt;33,Anmeldung!$D$40&lt;&gt;"",(Anmeldung!$B$40&amp;": "&amp;Anmeldung!$D$40&amp;", "&amp;Anmeldung!$E$40&amp;" / "&amp;Anmeldung!$G$40&amp;" / "&amp;Anmeldung!$J$40)&lt;&gt;Anmeldung!$R$40),Anmeldung!$B$40&amp;": "&amp;Anmeldung!$D$40&amp;", "&amp;Anmeldung!$E$40&amp;" / "&amp;Anmeldung!$G$40&amp;" / "&amp;Anmeldung!$J$40,"")</f>
        <v/>
      </c>
      <c r="FZ27" t="str">
        <f>IF(AND(32&lt;&gt;32,Anmeldung!$D$40&lt;&gt;"",Anmeldung!$U$40="Ja",Anmeldung!$G$40=Anmeldung!$G$40,Anmeldung!$J$40=Anmeldung!$J$40),Anmeldung!$B$40&amp;": "&amp;Anmeldung!$D$40&amp;", "&amp;Anmeldung!$E$40&amp;" / "&amp;Anmeldung!$G$40&amp;" / "&amp;Anmeldung!$J$40,"")</f>
        <v/>
      </c>
      <c r="GC27" t="str">
        <f>IF(AND(33&lt;&gt;34,Anmeldung!$D$40&lt;&gt;"",Anmeldung!$G$40=Anmeldung!$G$41,Anmeldung!$J$40=Anmeldung!$J$41),Anmeldung!$B$40&amp;": "&amp;Anmeldung!$D$40&amp;", "&amp;Anmeldung!$E$40&amp;" / "&amp;Anmeldung!$G$40&amp;" / "&amp;Anmeldung!$J$40,"")</f>
        <v/>
      </c>
      <c r="GD27" t="str">
        <f>IF(AND(33&lt;&gt;34,Anmeldung!$D$40&lt;&gt;"",Anmeldung!$G$40=Anmeldung!$G$41,Anmeldung!$J$40=Anmeldung!$J$41,(Anmeldung!$B$40&amp;": "&amp;Anmeldung!$D$40&amp;", "&amp;Anmeldung!$E$40&amp;" / "&amp;Anmeldung!$G$40&amp;" / "&amp;Anmeldung!$J$40)&lt;&gt;Anmeldung!$P$41),Anmeldung!$B$40&amp;": "&amp;Anmeldung!$D$40&amp;", "&amp;Anmeldung!$E$40&amp;" / "&amp;Anmeldung!$G$40&amp;" / "&amp;Anmeldung!$J$40,"")</f>
        <v/>
      </c>
      <c r="GE27" t="str">
        <f>IF(AND(33&lt;&gt;34,Anmeldung!$D$40&lt;&gt;"",Anmeldung!$G$40=Anmeldung!$G$41,Anmeldung!$J$40=Anmeldung!$J$41,(Anmeldung!$B$40&amp;": "&amp;Anmeldung!$D$40&amp;", "&amp;Anmeldung!$E$40&amp;" / "&amp;Anmeldung!$G$40&amp;" / "&amp;Anmeldung!$J$40)&lt;&gt;Anmeldung!$O$41),Anmeldung!$B$40&amp;": "&amp;Anmeldung!$D$40&amp;", "&amp;Anmeldung!$E$40&amp;" / "&amp;Anmeldung!$G$40&amp;" / "&amp;Anmeldung!$J$40,"")</f>
        <v/>
      </c>
      <c r="GF27" t="str">
        <f>IF(AND(33&lt;&gt;34,Anmeldung!$D$40&lt;&gt;"",Anmeldung!$G$40&lt;&gt;Anmeldung!$G$41,(Anmeldung!$B$40&amp;": "&amp;Anmeldung!$D$40&amp;", "&amp;Anmeldung!$E$40&amp;" / "&amp;Anmeldung!$G$40&amp;" / "&amp;Anmeldung!$J$40)&lt;&gt;Anmeldung!$S$41),Anmeldung!$B$40&amp;": "&amp;Anmeldung!$D$40&amp;", "&amp;Anmeldung!$E$40&amp;" / "&amp;Anmeldung!$G$40&amp;" / "&amp;Anmeldung!$J$40,"")</f>
        <v/>
      </c>
      <c r="GG27" t="str">
        <f>IF(AND(33&lt;&gt;34,Anmeldung!$D$40&lt;&gt;"",(Anmeldung!$B$40&amp;": "&amp;Anmeldung!$D$40&amp;", "&amp;Anmeldung!$E$40&amp;" / "&amp;Anmeldung!$G$40&amp;" / "&amp;Anmeldung!$J$40)&lt;&gt;Anmeldung!$R$41),Anmeldung!$B$40&amp;": "&amp;Anmeldung!$D$40&amp;", "&amp;Anmeldung!$E$40&amp;" / "&amp;Anmeldung!$G$40&amp;" / "&amp;Anmeldung!$J$40,"")</f>
        <v/>
      </c>
      <c r="GH27" t="str">
        <f>IF(AND(32&lt;&gt;33,Anmeldung!$D$40&lt;&gt;"",Anmeldung!$U$40="Ja",Anmeldung!$G$40=Anmeldung!$G$41,Anmeldung!$J$40=Anmeldung!$J$41),Anmeldung!$B$40&amp;": "&amp;Anmeldung!$D$40&amp;", "&amp;Anmeldung!$E$40&amp;" / "&amp;Anmeldung!$G$40&amp;" / "&amp;Anmeldung!$J$40,"")</f>
        <v/>
      </c>
      <c r="GK27" t="str">
        <f>IF(AND(33&lt;&gt;35,Anmeldung!$D$40&lt;&gt;"",Anmeldung!$G$40=Anmeldung!$G$42,Anmeldung!$J$40=Anmeldung!$J$42),Anmeldung!$B$40&amp;": "&amp;Anmeldung!$D$40&amp;", "&amp;Anmeldung!$E$40&amp;" / "&amp;Anmeldung!$G$40&amp;" / "&amp;Anmeldung!$J$40,"")</f>
        <v/>
      </c>
      <c r="GL27" t="str">
        <f>IF(AND(33&lt;&gt;35,Anmeldung!$D$40&lt;&gt;"",Anmeldung!$G$40=Anmeldung!$G$42,Anmeldung!$J$40=Anmeldung!$J$42,(Anmeldung!$B$40&amp;": "&amp;Anmeldung!$D$40&amp;", "&amp;Anmeldung!$E$40&amp;" / "&amp;Anmeldung!$G$40&amp;" / "&amp;Anmeldung!$J$40)&lt;&gt;Anmeldung!$P$42),Anmeldung!$B$40&amp;": "&amp;Anmeldung!$D$40&amp;", "&amp;Anmeldung!$E$40&amp;" / "&amp;Anmeldung!$G$40&amp;" / "&amp;Anmeldung!$J$40,"")</f>
        <v/>
      </c>
      <c r="GM27" t="str">
        <f>IF(AND(33&lt;&gt;35,Anmeldung!$D$40&lt;&gt;"",Anmeldung!$G$40=Anmeldung!$G$42,Anmeldung!$J$40=Anmeldung!$J$42,(Anmeldung!$B$40&amp;": "&amp;Anmeldung!$D$40&amp;", "&amp;Anmeldung!$E$40&amp;" / "&amp;Anmeldung!$G$40&amp;" / "&amp;Anmeldung!$J$40)&lt;&gt;Anmeldung!$O$42),Anmeldung!$B$40&amp;": "&amp;Anmeldung!$D$40&amp;", "&amp;Anmeldung!$E$40&amp;" / "&amp;Anmeldung!$G$40&amp;" / "&amp;Anmeldung!$J$40,"")</f>
        <v/>
      </c>
      <c r="GN27" t="str">
        <f>IF(AND(33&lt;&gt;35,Anmeldung!$D$40&lt;&gt;"",Anmeldung!$G$40&lt;&gt;Anmeldung!$G$42,(Anmeldung!$B$40&amp;": "&amp;Anmeldung!$D$40&amp;", "&amp;Anmeldung!$E$40&amp;" / "&amp;Anmeldung!$G$40&amp;" / "&amp;Anmeldung!$J$40)&lt;&gt;Anmeldung!$S$42),Anmeldung!$B$40&amp;": "&amp;Anmeldung!$D$40&amp;", "&amp;Anmeldung!$E$40&amp;" / "&amp;Anmeldung!$G$40&amp;" / "&amp;Anmeldung!$J$40,"")</f>
        <v/>
      </c>
      <c r="GO27" t="str">
        <f>IF(AND(33&lt;&gt;35,Anmeldung!$D$40&lt;&gt;"",(Anmeldung!$B$40&amp;": "&amp;Anmeldung!$D$40&amp;", "&amp;Anmeldung!$E$40&amp;" / "&amp;Anmeldung!$G$40&amp;" / "&amp;Anmeldung!$J$40)&lt;&gt;Anmeldung!$R$42),Anmeldung!$B$40&amp;": "&amp;Anmeldung!$D$40&amp;", "&amp;Anmeldung!$E$40&amp;" / "&amp;Anmeldung!$G$40&amp;" / "&amp;Anmeldung!$J$40,"")</f>
        <v/>
      </c>
      <c r="GP27" t="str">
        <f>IF(AND(32&lt;&gt;34,Anmeldung!$D$40&lt;&gt;"",Anmeldung!$U$40="Ja",Anmeldung!$G$40=Anmeldung!$G$42,Anmeldung!$J$40=Anmeldung!$J$42),Anmeldung!$B$40&amp;": "&amp;Anmeldung!$D$40&amp;", "&amp;Anmeldung!$E$40&amp;" / "&amp;Anmeldung!$G$40&amp;" / "&amp;Anmeldung!$J$40,"")</f>
        <v/>
      </c>
      <c r="GS27" t="str">
        <f>IF(AND(33&lt;&gt;36,Anmeldung!$D$40&lt;&gt;"",Anmeldung!$G$40=Anmeldung!$G$43,Anmeldung!$J$40=Anmeldung!$J$43),Anmeldung!$B$40&amp;": "&amp;Anmeldung!$D$40&amp;", "&amp;Anmeldung!$E$40&amp;" / "&amp;Anmeldung!$G$40&amp;" / "&amp;Anmeldung!$J$40,"")</f>
        <v/>
      </c>
      <c r="GT27" t="str">
        <f>IF(AND(33&lt;&gt;36,Anmeldung!$D$40&lt;&gt;"",Anmeldung!$G$40=Anmeldung!$G$43,Anmeldung!$J$40=Anmeldung!$J$43,(Anmeldung!$B$40&amp;": "&amp;Anmeldung!$D$40&amp;", "&amp;Anmeldung!$E$40&amp;" / "&amp;Anmeldung!$G$40&amp;" / "&amp;Anmeldung!$J$40)&lt;&gt;Anmeldung!$P$43),Anmeldung!$B$40&amp;": "&amp;Anmeldung!$D$40&amp;", "&amp;Anmeldung!$E$40&amp;" / "&amp;Anmeldung!$G$40&amp;" / "&amp;Anmeldung!$J$40,"")</f>
        <v/>
      </c>
      <c r="GU27" t="str">
        <f>IF(AND(33&lt;&gt;36,Anmeldung!$D$40&lt;&gt;"",Anmeldung!$G$40=Anmeldung!$G$43,Anmeldung!$J$40=Anmeldung!$J$43,(Anmeldung!$B$40&amp;": "&amp;Anmeldung!$D$40&amp;", "&amp;Anmeldung!$E$40&amp;" / "&amp;Anmeldung!$G$40&amp;" / "&amp;Anmeldung!$J$40)&lt;&gt;Anmeldung!$O$43),Anmeldung!$B$40&amp;": "&amp;Anmeldung!$D$40&amp;", "&amp;Anmeldung!$E$40&amp;" / "&amp;Anmeldung!$G$40&amp;" / "&amp;Anmeldung!$J$40,"")</f>
        <v/>
      </c>
      <c r="GV27" t="str">
        <f>IF(AND(33&lt;&gt;36,Anmeldung!$D$40&lt;&gt;"",Anmeldung!$G$40&lt;&gt;Anmeldung!$G$43,(Anmeldung!$B$40&amp;": "&amp;Anmeldung!$D$40&amp;", "&amp;Anmeldung!$E$40&amp;" / "&amp;Anmeldung!$G$40&amp;" / "&amp;Anmeldung!$J$40)&lt;&gt;Anmeldung!$S$43),Anmeldung!$B$40&amp;": "&amp;Anmeldung!$D$40&amp;", "&amp;Anmeldung!$E$40&amp;" / "&amp;Anmeldung!$G$40&amp;" / "&amp;Anmeldung!$J$40,"")</f>
        <v/>
      </c>
      <c r="GW27" t="str">
        <f>IF(AND(33&lt;&gt;36,Anmeldung!$D$40&lt;&gt;"",(Anmeldung!$B$40&amp;": "&amp;Anmeldung!$D$40&amp;", "&amp;Anmeldung!$E$40&amp;" / "&amp;Anmeldung!$G$40&amp;" / "&amp;Anmeldung!$J$40)&lt;&gt;Anmeldung!$R$43),Anmeldung!$B$40&amp;": "&amp;Anmeldung!$D$40&amp;", "&amp;Anmeldung!$E$40&amp;" / "&amp;Anmeldung!$G$40&amp;" / "&amp;Anmeldung!$J$40,"")</f>
        <v/>
      </c>
      <c r="GX27" t="str">
        <f>IF(AND(32&lt;&gt;35,Anmeldung!$D$40&lt;&gt;"",Anmeldung!$U$40="Ja",Anmeldung!$G$40=Anmeldung!$G$43,Anmeldung!$J$40=Anmeldung!$J$43),Anmeldung!$B$40&amp;": "&amp;Anmeldung!$D$40&amp;", "&amp;Anmeldung!$E$40&amp;" / "&amp;Anmeldung!$G$40&amp;" / "&amp;Anmeldung!$J$40,"")</f>
        <v/>
      </c>
      <c r="HA27" t="str">
        <f>IF(AND(33&lt;&gt;37,Anmeldung!$D$40&lt;&gt;"",Anmeldung!$G$40=Anmeldung!$G$44,Anmeldung!$J$40=Anmeldung!$J$44),Anmeldung!$B$40&amp;": "&amp;Anmeldung!$D$40&amp;", "&amp;Anmeldung!$E$40&amp;" / "&amp;Anmeldung!$G$40&amp;" / "&amp;Anmeldung!$J$40,"")</f>
        <v/>
      </c>
      <c r="HB27" t="str">
        <f>IF(AND(33&lt;&gt;37,Anmeldung!$D$40&lt;&gt;"",Anmeldung!$G$40=Anmeldung!$G$44,Anmeldung!$J$40=Anmeldung!$J$44,(Anmeldung!$B$40&amp;": "&amp;Anmeldung!$D$40&amp;", "&amp;Anmeldung!$E$40&amp;" / "&amp;Anmeldung!$G$40&amp;" / "&amp;Anmeldung!$J$40)&lt;&gt;Anmeldung!$P$44),Anmeldung!$B$40&amp;": "&amp;Anmeldung!$D$40&amp;", "&amp;Anmeldung!$E$40&amp;" / "&amp;Anmeldung!$G$40&amp;" / "&amp;Anmeldung!$J$40,"")</f>
        <v/>
      </c>
      <c r="HC27" t="str">
        <f>IF(AND(33&lt;&gt;37,Anmeldung!$D$40&lt;&gt;"",Anmeldung!$G$40=Anmeldung!$G$44,Anmeldung!$J$40=Anmeldung!$J$44,(Anmeldung!$B$40&amp;": "&amp;Anmeldung!$D$40&amp;", "&amp;Anmeldung!$E$40&amp;" / "&amp;Anmeldung!$G$40&amp;" / "&amp;Anmeldung!$J$40)&lt;&gt;Anmeldung!$O$44),Anmeldung!$B$40&amp;": "&amp;Anmeldung!$D$40&amp;", "&amp;Anmeldung!$E$40&amp;" / "&amp;Anmeldung!$G$40&amp;" / "&amp;Anmeldung!$J$40,"")</f>
        <v/>
      </c>
      <c r="HD27" t="str">
        <f>IF(AND(33&lt;&gt;37,Anmeldung!$D$40&lt;&gt;"",Anmeldung!$G$40&lt;&gt;Anmeldung!$G$44,(Anmeldung!$B$40&amp;": "&amp;Anmeldung!$D$40&amp;", "&amp;Anmeldung!$E$40&amp;" / "&amp;Anmeldung!$G$40&amp;" / "&amp;Anmeldung!$J$40)&lt;&gt;Anmeldung!$S$44),Anmeldung!$B$40&amp;": "&amp;Anmeldung!$D$40&amp;", "&amp;Anmeldung!$E$40&amp;" / "&amp;Anmeldung!$G$40&amp;" / "&amp;Anmeldung!$J$40,"")</f>
        <v/>
      </c>
      <c r="HE27" t="str">
        <f>IF(AND(33&lt;&gt;37,Anmeldung!$D$40&lt;&gt;"",(Anmeldung!$B$40&amp;": "&amp;Anmeldung!$D$40&amp;", "&amp;Anmeldung!$E$40&amp;" / "&amp;Anmeldung!$G$40&amp;" / "&amp;Anmeldung!$J$40)&lt;&gt;Anmeldung!$R$44),Anmeldung!$B$40&amp;": "&amp;Anmeldung!$D$40&amp;", "&amp;Anmeldung!$E$40&amp;" / "&amp;Anmeldung!$G$40&amp;" / "&amp;Anmeldung!$J$40,"")</f>
        <v/>
      </c>
      <c r="HF27" t="str">
        <f>IF(AND(32&lt;&gt;36,Anmeldung!$D$40&lt;&gt;"",Anmeldung!$U$40="Ja",Anmeldung!$G$40=Anmeldung!$G$44,Anmeldung!$J$40=Anmeldung!$J$44),Anmeldung!$B$40&amp;": "&amp;Anmeldung!$D$40&amp;", "&amp;Anmeldung!$E$40&amp;" / "&amp;Anmeldung!$G$40&amp;" / "&amp;Anmeldung!$J$40,"")</f>
        <v/>
      </c>
      <c r="HI27" t="str">
        <f>IF(AND(33&lt;&gt;38,Anmeldung!$D$40&lt;&gt;"",Anmeldung!$G$40=Anmeldung!$G$45,Anmeldung!$J$40=Anmeldung!$J$45),Anmeldung!$B$40&amp;": "&amp;Anmeldung!$D$40&amp;", "&amp;Anmeldung!$E$40&amp;" / "&amp;Anmeldung!$G$40&amp;" / "&amp;Anmeldung!$J$40,"")</f>
        <v/>
      </c>
      <c r="HJ27" t="str">
        <f>IF(AND(33&lt;&gt;38,Anmeldung!$D$40&lt;&gt;"",Anmeldung!$G$40=Anmeldung!$G$45,Anmeldung!$J$40=Anmeldung!$J$45,(Anmeldung!$B$40&amp;": "&amp;Anmeldung!$D$40&amp;", "&amp;Anmeldung!$E$40&amp;" / "&amp;Anmeldung!$G$40&amp;" / "&amp;Anmeldung!$J$40)&lt;&gt;Anmeldung!$P$45),Anmeldung!$B$40&amp;": "&amp;Anmeldung!$D$40&amp;", "&amp;Anmeldung!$E$40&amp;" / "&amp;Anmeldung!$G$40&amp;" / "&amp;Anmeldung!$J$40,"")</f>
        <v/>
      </c>
      <c r="HK27" t="str">
        <f>IF(AND(33&lt;&gt;38,Anmeldung!$D$40&lt;&gt;"",Anmeldung!$G$40=Anmeldung!$G$45,Anmeldung!$J$40=Anmeldung!$J$45,(Anmeldung!$B$40&amp;": "&amp;Anmeldung!$D$40&amp;", "&amp;Anmeldung!$E$40&amp;" / "&amp;Anmeldung!$G$40&amp;" / "&amp;Anmeldung!$J$40)&lt;&gt;Anmeldung!$O$45),Anmeldung!$B$40&amp;": "&amp;Anmeldung!$D$40&amp;", "&amp;Anmeldung!$E$40&amp;" / "&amp;Anmeldung!$G$40&amp;" / "&amp;Anmeldung!$J$40,"")</f>
        <v/>
      </c>
      <c r="HL27" t="str">
        <f>IF(AND(33&lt;&gt;38,Anmeldung!$D$40&lt;&gt;"",Anmeldung!$G$40&lt;&gt;Anmeldung!$G$45,(Anmeldung!$B$40&amp;": "&amp;Anmeldung!$D$40&amp;", "&amp;Anmeldung!$E$40&amp;" / "&amp;Anmeldung!$G$40&amp;" / "&amp;Anmeldung!$J$40)&lt;&gt;Anmeldung!$S$45),Anmeldung!$B$40&amp;": "&amp;Anmeldung!$D$40&amp;", "&amp;Anmeldung!$E$40&amp;" / "&amp;Anmeldung!$G$40&amp;" / "&amp;Anmeldung!$J$40,"")</f>
        <v/>
      </c>
      <c r="HM27" t="str">
        <f>IF(AND(33&lt;&gt;38,Anmeldung!$D$40&lt;&gt;"",(Anmeldung!$B$40&amp;": "&amp;Anmeldung!$D$40&amp;", "&amp;Anmeldung!$E$40&amp;" / "&amp;Anmeldung!$G$40&amp;" / "&amp;Anmeldung!$J$40)&lt;&gt;Anmeldung!$R$45),Anmeldung!$B$40&amp;": "&amp;Anmeldung!$D$40&amp;", "&amp;Anmeldung!$E$40&amp;" / "&amp;Anmeldung!$G$40&amp;" / "&amp;Anmeldung!$J$40,"")</f>
        <v/>
      </c>
      <c r="HN27" t="str">
        <f>IF(AND(32&lt;&gt;37,Anmeldung!$D$40&lt;&gt;"",Anmeldung!$U$40="Ja",Anmeldung!$G$40=Anmeldung!$G$45,Anmeldung!$J$40=Anmeldung!$J$45),Anmeldung!$B$40&amp;": "&amp;Anmeldung!$D$40&amp;", "&amp;Anmeldung!$E$40&amp;" / "&amp;Anmeldung!$G$40&amp;" / "&amp;Anmeldung!$J$40,"")</f>
        <v/>
      </c>
      <c r="HQ27" t="str">
        <f>IF(AND(33&lt;&gt;39,Anmeldung!$D$40&lt;&gt;"",Anmeldung!$G$40=Anmeldung!$G$46,Anmeldung!$J$40=Anmeldung!$J$46),Anmeldung!$B$40&amp;": "&amp;Anmeldung!$D$40&amp;", "&amp;Anmeldung!$E$40&amp;" / "&amp;Anmeldung!$G$40&amp;" / "&amp;Anmeldung!$J$40,"")</f>
        <v/>
      </c>
      <c r="HR27" t="str">
        <f>IF(AND(33&lt;&gt;39,Anmeldung!$D$40&lt;&gt;"",Anmeldung!$G$40=Anmeldung!$G$46,Anmeldung!$J$40=Anmeldung!$J$46,(Anmeldung!$B$40&amp;": "&amp;Anmeldung!$D$40&amp;", "&amp;Anmeldung!$E$40&amp;" / "&amp;Anmeldung!$G$40&amp;" / "&amp;Anmeldung!$J$40)&lt;&gt;Anmeldung!$P$46),Anmeldung!$B$40&amp;": "&amp;Anmeldung!$D$40&amp;", "&amp;Anmeldung!$E$40&amp;" / "&amp;Anmeldung!$G$40&amp;" / "&amp;Anmeldung!$J$40,"")</f>
        <v/>
      </c>
      <c r="HS27" t="str">
        <f>IF(AND(33&lt;&gt;39,Anmeldung!$D$40&lt;&gt;"",Anmeldung!$G$40=Anmeldung!$G$46,Anmeldung!$J$40=Anmeldung!$J$46,(Anmeldung!$B$40&amp;": "&amp;Anmeldung!$D$40&amp;", "&amp;Anmeldung!$E$40&amp;" / "&amp;Anmeldung!$G$40&amp;" / "&amp;Anmeldung!$J$40)&lt;&gt;Anmeldung!$O$46),Anmeldung!$B$40&amp;": "&amp;Anmeldung!$D$40&amp;", "&amp;Anmeldung!$E$40&amp;" / "&amp;Anmeldung!$G$40&amp;" / "&amp;Anmeldung!$J$40,"")</f>
        <v/>
      </c>
      <c r="HT27" t="str">
        <f>IF(AND(33&lt;&gt;39,Anmeldung!$D$40&lt;&gt;"",Anmeldung!$G$40&lt;&gt;Anmeldung!$G$46,(Anmeldung!$B$40&amp;": "&amp;Anmeldung!$D$40&amp;", "&amp;Anmeldung!$E$40&amp;" / "&amp;Anmeldung!$G$40&amp;" / "&amp;Anmeldung!$J$40)&lt;&gt;Anmeldung!$S$46),Anmeldung!$B$40&amp;": "&amp;Anmeldung!$D$40&amp;", "&amp;Anmeldung!$E$40&amp;" / "&amp;Anmeldung!$G$40&amp;" / "&amp;Anmeldung!$J$40,"")</f>
        <v/>
      </c>
      <c r="HU27" t="str">
        <f>IF(AND(33&lt;&gt;39,Anmeldung!$D$40&lt;&gt;"",(Anmeldung!$B$40&amp;": "&amp;Anmeldung!$D$40&amp;", "&amp;Anmeldung!$E$40&amp;" / "&amp;Anmeldung!$G$40&amp;" / "&amp;Anmeldung!$J$40)&lt;&gt;Anmeldung!$R$46),Anmeldung!$B$40&amp;": "&amp;Anmeldung!$D$40&amp;", "&amp;Anmeldung!$E$40&amp;" / "&amp;Anmeldung!$G$40&amp;" / "&amp;Anmeldung!$J$40,"")</f>
        <v/>
      </c>
      <c r="HV27" t="str">
        <f>IF(AND(32&lt;&gt;38,Anmeldung!$D$40&lt;&gt;"",Anmeldung!$U$40="Ja",Anmeldung!$G$40=Anmeldung!$G$46,Anmeldung!$J$40=Anmeldung!$J$46),Anmeldung!$B$40&amp;": "&amp;Anmeldung!$D$40&amp;", "&amp;Anmeldung!$E$40&amp;" / "&amp;Anmeldung!$G$40&amp;" / "&amp;Anmeldung!$J$40,"")</f>
        <v/>
      </c>
      <c r="HY27" t="str">
        <f>IF(AND(33&lt;&gt;40,Anmeldung!$D$40&lt;&gt;"",Anmeldung!$G$40=Anmeldung!$G$47,Anmeldung!$J$40=Anmeldung!$J$47),Anmeldung!$B$40&amp;": "&amp;Anmeldung!$D$40&amp;", "&amp;Anmeldung!$E$40&amp;" / "&amp;Anmeldung!$G$40&amp;" / "&amp;Anmeldung!$J$40,"")</f>
        <v/>
      </c>
      <c r="HZ27" t="str">
        <f>IF(AND(33&lt;&gt;40,Anmeldung!$D$40&lt;&gt;"",Anmeldung!$G$40=Anmeldung!$G$47,Anmeldung!$J$40=Anmeldung!$J$47,(Anmeldung!$B$40&amp;": "&amp;Anmeldung!$D$40&amp;", "&amp;Anmeldung!$E$40&amp;" / "&amp;Anmeldung!$G$40&amp;" / "&amp;Anmeldung!$J$40)&lt;&gt;Anmeldung!$P$47),Anmeldung!$B$40&amp;": "&amp;Anmeldung!$D$40&amp;", "&amp;Anmeldung!$E$40&amp;" / "&amp;Anmeldung!$G$40&amp;" / "&amp;Anmeldung!$J$40,"")</f>
        <v/>
      </c>
      <c r="IA27" t="str">
        <f>IF(AND(33&lt;&gt;40,Anmeldung!$D$40&lt;&gt;"",Anmeldung!$G$40=Anmeldung!$G$47,Anmeldung!$J$40=Anmeldung!$J$47,(Anmeldung!$B$40&amp;": "&amp;Anmeldung!$D$40&amp;", "&amp;Anmeldung!$E$40&amp;" / "&amp;Anmeldung!$G$40&amp;" / "&amp;Anmeldung!$J$40)&lt;&gt;Anmeldung!$O$47),Anmeldung!$B$40&amp;": "&amp;Anmeldung!$D$40&amp;", "&amp;Anmeldung!$E$40&amp;" / "&amp;Anmeldung!$G$40&amp;" / "&amp;Anmeldung!$J$40,"")</f>
        <v/>
      </c>
      <c r="IB27" t="str">
        <f>IF(AND(33&lt;&gt;40,Anmeldung!$D$40&lt;&gt;"",Anmeldung!$G$40&lt;&gt;Anmeldung!$G$47,(Anmeldung!$B$40&amp;": "&amp;Anmeldung!$D$40&amp;", "&amp;Anmeldung!$E$40&amp;" / "&amp;Anmeldung!$G$40&amp;" / "&amp;Anmeldung!$J$40)&lt;&gt;Anmeldung!$S$47),Anmeldung!$B$40&amp;": "&amp;Anmeldung!$D$40&amp;", "&amp;Anmeldung!$E$40&amp;" / "&amp;Anmeldung!$G$40&amp;" / "&amp;Anmeldung!$J$40,"")</f>
        <v/>
      </c>
      <c r="IC27" t="str">
        <f>IF(AND(33&lt;&gt;40,Anmeldung!$D$40&lt;&gt;"",(Anmeldung!$B$40&amp;": "&amp;Anmeldung!$D$40&amp;", "&amp;Anmeldung!$E$40&amp;" / "&amp;Anmeldung!$G$40&amp;" / "&amp;Anmeldung!$J$40)&lt;&gt;Anmeldung!$R$47),Anmeldung!$B$40&amp;": "&amp;Anmeldung!$D$40&amp;", "&amp;Anmeldung!$E$40&amp;" / "&amp;Anmeldung!$G$40&amp;" / "&amp;Anmeldung!$J$40,"")</f>
        <v/>
      </c>
      <c r="ID27" t="str">
        <f>IF(AND(32&lt;&gt;39,Anmeldung!$D$40&lt;&gt;"",Anmeldung!$U$40="Ja",Anmeldung!$G$40=Anmeldung!$G$47,Anmeldung!$J$40=Anmeldung!$J$47),Anmeldung!$B$40&amp;": "&amp;Anmeldung!$D$40&amp;", "&amp;Anmeldung!$E$40&amp;" / "&amp;Anmeldung!$G$40&amp;" / "&amp;Anmeldung!$J$40,"")</f>
        <v/>
      </c>
    </row>
    <row r="28" spans="1:238" ht="14.25" customHeight="1" x14ac:dyDescent="0.3">
      <c r="A28" t="str">
        <f>IF(AND(34&lt;&gt;11,Anmeldung!$D$41&lt;&gt;"",Anmeldung!$G$41=Anmeldung!$G$18,Anmeldung!$J$41=Anmeldung!$J$18),Anmeldung!$B$41&amp;": "&amp;Anmeldung!$D$41&amp;", "&amp;Anmeldung!$E$41&amp;" / "&amp;Anmeldung!$G$41&amp;" / "&amp;Anmeldung!$J$41,"")</f>
        <v/>
      </c>
      <c r="B28" t="str">
        <f>IF(AND(34&lt;&gt;11,Anmeldung!$D$41&lt;&gt;"",Anmeldung!$G$41=Anmeldung!$G$18,Anmeldung!$J$41=Anmeldung!$J$18,(Anmeldung!$B$41&amp;": "&amp;Anmeldung!$D$41&amp;", "&amp;Anmeldung!$E$41&amp;" / "&amp;Anmeldung!$G$41&amp;" / "&amp;Anmeldung!$J$41)&lt;&gt;Anmeldung!$P$18),Anmeldung!$B$41&amp;": "&amp;Anmeldung!$D$41&amp;", "&amp;Anmeldung!$E$41&amp;" / "&amp;Anmeldung!$G$41&amp;" / "&amp;Anmeldung!$J$41,"")</f>
        <v/>
      </c>
      <c r="C28" t="str">
        <f>IF(AND(34&lt;&gt;11,Anmeldung!$D$41&lt;&gt;"",Anmeldung!$G$41=Anmeldung!$G$18,Anmeldung!$J$41=Anmeldung!$J$18,(Anmeldung!$B$41&amp;": "&amp;Anmeldung!$D$41&amp;", "&amp;Anmeldung!$E$41&amp;" / "&amp;Anmeldung!$G$41&amp;" / "&amp;Anmeldung!$J$41)&lt;&gt;Anmeldung!$O$18),Anmeldung!$B$41&amp;": "&amp;Anmeldung!$D$41&amp;", "&amp;Anmeldung!$E$41&amp;" / "&amp;Anmeldung!$G$41&amp;" / "&amp;Anmeldung!$J$41,"")</f>
        <v/>
      </c>
      <c r="D28" t="str">
        <f>IF(AND(34&lt;&gt;11,Anmeldung!$D$41&lt;&gt;"",Anmeldung!$G$41&lt;&gt;Anmeldung!$G$18,(Anmeldung!$B$41&amp;": "&amp;Anmeldung!$D$41&amp;", "&amp;Anmeldung!$E$41&amp;" / "&amp;Anmeldung!$G$41&amp;" / "&amp;Anmeldung!$J$41)&lt;&gt;Anmeldung!$S$18),Anmeldung!$B$41&amp;": "&amp;Anmeldung!$D$41&amp;", "&amp;Anmeldung!$E$41&amp;" / "&amp;Anmeldung!$G$41&amp;" / "&amp;Anmeldung!$J$41,"")</f>
        <v/>
      </c>
      <c r="E28" t="str">
        <f>IF(AND(34&lt;&gt;11,Anmeldung!$D$41&lt;&gt;"",(Anmeldung!$B$41&amp;": "&amp;Anmeldung!$D$41&amp;", "&amp;Anmeldung!$E$41&amp;" / "&amp;Anmeldung!$G$41&amp;" / "&amp;Anmeldung!$J$41)&lt;&gt;Anmeldung!$R$18),Anmeldung!$B$41&amp;": "&amp;Anmeldung!$D$41&amp;", "&amp;Anmeldung!$E$41&amp;" / "&amp;Anmeldung!$G$41&amp;" / "&amp;Anmeldung!$J$41,"")</f>
        <v/>
      </c>
      <c r="F28" t="str">
        <f>IF(AND(33&lt;&gt;10,Anmeldung!$D$41&lt;&gt;"",Anmeldung!$U$41="Ja",Anmeldung!$G$41=Anmeldung!$G$18,Anmeldung!$J$41=Anmeldung!$J$18),Anmeldung!$B$41&amp;": "&amp;Anmeldung!$D$41&amp;", "&amp;Anmeldung!$E$41&amp;" / "&amp;Anmeldung!$G$41&amp;" / "&amp;Anmeldung!$J$41,"")</f>
        <v/>
      </c>
      <c r="I28" t="str">
        <f>IF(AND(34&lt;&gt;12,Anmeldung!$D$41&lt;&gt;"",Anmeldung!$G$41=Anmeldung!$G$19,Anmeldung!$J$41=Anmeldung!$J$19),Anmeldung!$B$41&amp;": "&amp;Anmeldung!$D$41&amp;", "&amp;Anmeldung!$E$41&amp;" / "&amp;Anmeldung!$G$41&amp;" / "&amp;Anmeldung!$J$41,"")</f>
        <v/>
      </c>
      <c r="J28" t="str">
        <f>IF(AND(34&lt;&gt;12,Anmeldung!$D$41&lt;&gt;"",Anmeldung!$G$41=Anmeldung!$G$19,Anmeldung!$J$41=Anmeldung!$J$19,(Anmeldung!$B$41&amp;": "&amp;Anmeldung!$D$41&amp;", "&amp;Anmeldung!$E$41&amp;" / "&amp;Anmeldung!$G$41&amp;" / "&amp;Anmeldung!$J$41)&lt;&gt;Anmeldung!$P$19),Anmeldung!$B$41&amp;": "&amp;Anmeldung!$D$41&amp;", "&amp;Anmeldung!$E$41&amp;" / "&amp;Anmeldung!$G$41&amp;" / "&amp;Anmeldung!$J$41,"")</f>
        <v/>
      </c>
      <c r="K28" t="str">
        <f>IF(AND(34&lt;&gt;12,Anmeldung!$D$41&lt;&gt;"",Anmeldung!$G$41=Anmeldung!$G$19,Anmeldung!$J$41=Anmeldung!$J$19,(Anmeldung!$B$41&amp;": "&amp;Anmeldung!$D$41&amp;", "&amp;Anmeldung!$E$41&amp;" / "&amp;Anmeldung!$G$41&amp;" / "&amp;Anmeldung!$J$41)&lt;&gt;Anmeldung!$O$19),Anmeldung!$B$41&amp;": "&amp;Anmeldung!$D$41&amp;", "&amp;Anmeldung!$E$41&amp;" / "&amp;Anmeldung!$G$41&amp;" / "&amp;Anmeldung!$J$41,"")</f>
        <v/>
      </c>
      <c r="L28" t="str">
        <f>IF(AND(34&lt;&gt;12,Anmeldung!$D$41&lt;&gt;"",Anmeldung!$G$41&lt;&gt;Anmeldung!$G$19,(Anmeldung!$B$41&amp;": "&amp;Anmeldung!$D$41&amp;", "&amp;Anmeldung!$E$41&amp;" / "&amp;Anmeldung!$G$41&amp;" / "&amp;Anmeldung!$J$41)&lt;&gt;Anmeldung!$S$19),Anmeldung!$B$41&amp;": "&amp;Anmeldung!$D$41&amp;", "&amp;Anmeldung!$E$41&amp;" / "&amp;Anmeldung!$G$41&amp;" / "&amp;Anmeldung!$J$41,"")</f>
        <v/>
      </c>
      <c r="M28" t="str">
        <f>IF(AND(34&lt;&gt;12,Anmeldung!$D$41&lt;&gt;"",(Anmeldung!$B$41&amp;": "&amp;Anmeldung!$D$41&amp;", "&amp;Anmeldung!$E$41&amp;" / "&amp;Anmeldung!$G$41&amp;" / "&amp;Anmeldung!$J$41)&lt;&gt;Anmeldung!$R$19),Anmeldung!$B$41&amp;": "&amp;Anmeldung!$D$41&amp;", "&amp;Anmeldung!$E$41&amp;" / "&amp;Anmeldung!$G$41&amp;" / "&amp;Anmeldung!$J$41,"")</f>
        <v/>
      </c>
      <c r="N28" t="str">
        <f>IF(AND(33&lt;&gt;11,Anmeldung!$D$41&lt;&gt;"",Anmeldung!$U$41="Ja",Anmeldung!$G$41=Anmeldung!$G$19,Anmeldung!$J$41=Anmeldung!$J$19),Anmeldung!$B$41&amp;": "&amp;Anmeldung!$D$41&amp;", "&amp;Anmeldung!$E$41&amp;" / "&amp;Anmeldung!$G$41&amp;" / "&amp;Anmeldung!$J$41,"")</f>
        <v/>
      </c>
      <c r="Q28" t="str">
        <f>IF(AND(34&lt;&gt;13,Anmeldung!$D$41&lt;&gt;"",Anmeldung!$G$41=Anmeldung!$G$20,Anmeldung!$J$41=Anmeldung!$J$20),Anmeldung!$B$41&amp;": "&amp;Anmeldung!$D$41&amp;", "&amp;Anmeldung!$E$41&amp;" / "&amp;Anmeldung!$G$41&amp;" / "&amp;Anmeldung!$J$41,"")</f>
        <v/>
      </c>
      <c r="R28" t="str">
        <f>IF(AND(34&lt;&gt;13,Anmeldung!$D$41&lt;&gt;"",Anmeldung!$G$41=Anmeldung!$G$20,Anmeldung!$J$41=Anmeldung!$J$20,(Anmeldung!$B$41&amp;": "&amp;Anmeldung!$D$41&amp;", "&amp;Anmeldung!$E$41&amp;" / "&amp;Anmeldung!$G$41&amp;" / "&amp;Anmeldung!$J$41)&lt;&gt;Anmeldung!$P$20),Anmeldung!$B$41&amp;": "&amp;Anmeldung!$D$41&amp;", "&amp;Anmeldung!$E$41&amp;" / "&amp;Anmeldung!$G$41&amp;" / "&amp;Anmeldung!$J$41,"")</f>
        <v/>
      </c>
      <c r="S28" t="str">
        <f>IF(AND(34&lt;&gt;13,Anmeldung!$D$41&lt;&gt;"",Anmeldung!$G$41=Anmeldung!$G$20,Anmeldung!$J$41=Anmeldung!$J$20,(Anmeldung!$B$41&amp;": "&amp;Anmeldung!$D$41&amp;", "&amp;Anmeldung!$E$41&amp;" / "&amp;Anmeldung!$G$41&amp;" / "&amp;Anmeldung!$J$41)&lt;&gt;Anmeldung!$O$20),Anmeldung!$B$41&amp;": "&amp;Anmeldung!$D$41&amp;", "&amp;Anmeldung!$E$41&amp;" / "&amp;Anmeldung!$G$41&amp;" / "&amp;Anmeldung!$J$41,"")</f>
        <v/>
      </c>
      <c r="T28" t="str">
        <f>IF(AND(34&lt;&gt;13,Anmeldung!$D$41&lt;&gt;"",Anmeldung!$G$41&lt;&gt;Anmeldung!$G$20,(Anmeldung!$B$41&amp;": "&amp;Anmeldung!$D$41&amp;", "&amp;Anmeldung!$E$41&amp;" / "&amp;Anmeldung!$G$41&amp;" / "&amp;Anmeldung!$J$41)&lt;&gt;Anmeldung!$S$20),Anmeldung!$B$41&amp;": "&amp;Anmeldung!$D$41&amp;", "&amp;Anmeldung!$E$41&amp;" / "&amp;Anmeldung!$G$41&amp;" / "&amp;Anmeldung!$J$41,"")</f>
        <v/>
      </c>
      <c r="U28" t="str">
        <f>IF(AND(34&lt;&gt;13,Anmeldung!$D$41&lt;&gt;"",(Anmeldung!$B$41&amp;": "&amp;Anmeldung!$D$41&amp;", "&amp;Anmeldung!$E$41&amp;" / "&amp;Anmeldung!$G$41&amp;" / "&amp;Anmeldung!$J$41)&lt;&gt;Anmeldung!$R$20),Anmeldung!$B$41&amp;": "&amp;Anmeldung!$D$41&amp;", "&amp;Anmeldung!$E$41&amp;" / "&amp;Anmeldung!$G$41&amp;" / "&amp;Anmeldung!$J$41,"")</f>
        <v/>
      </c>
      <c r="V28" t="str">
        <f>IF(AND(33&lt;&gt;12,Anmeldung!$D$41&lt;&gt;"",Anmeldung!$U$41="Ja",Anmeldung!$G$41=Anmeldung!$G$20,Anmeldung!$J$41=Anmeldung!$J$20),Anmeldung!$B$41&amp;": "&amp;Anmeldung!$D$41&amp;", "&amp;Anmeldung!$E$41&amp;" / "&amp;Anmeldung!$G$41&amp;" / "&amp;Anmeldung!$J$41,"")</f>
        <v/>
      </c>
      <c r="Y28" t="str">
        <f>IF(AND(34&lt;&gt;14,Anmeldung!$D$41&lt;&gt;"",Anmeldung!$G$41=Anmeldung!$G$21,Anmeldung!$J$41=Anmeldung!$J$21),Anmeldung!$B$41&amp;": "&amp;Anmeldung!$D$41&amp;", "&amp;Anmeldung!$E$41&amp;" / "&amp;Anmeldung!$G$41&amp;" / "&amp;Anmeldung!$J$41,"")</f>
        <v/>
      </c>
      <c r="Z28" t="str">
        <f>IF(AND(34&lt;&gt;14,Anmeldung!$D$41&lt;&gt;"",Anmeldung!$G$41=Anmeldung!$G$21,Anmeldung!$J$41=Anmeldung!$J$21,(Anmeldung!$B$41&amp;": "&amp;Anmeldung!$D$41&amp;", "&amp;Anmeldung!$E$41&amp;" / "&amp;Anmeldung!$G$41&amp;" / "&amp;Anmeldung!$J$41)&lt;&gt;Anmeldung!$P$21),Anmeldung!$B$41&amp;": "&amp;Anmeldung!$D$41&amp;", "&amp;Anmeldung!$E$41&amp;" / "&amp;Anmeldung!$G$41&amp;" / "&amp;Anmeldung!$J$41,"")</f>
        <v/>
      </c>
      <c r="AA28" t="str">
        <f>IF(AND(34&lt;&gt;14,Anmeldung!$D$41&lt;&gt;"",Anmeldung!$G$41=Anmeldung!$G$21,Anmeldung!$J$41=Anmeldung!$J$21,(Anmeldung!$B$41&amp;": "&amp;Anmeldung!$D$41&amp;", "&amp;Anmeldung!$E$41&amp;" / "&amp;Anmeldung!$G$41&amp;" / "&amp;Anmeldung!$J$41)&lt;&gt;Anmeldung!$O$21),Anmeldung!$B$41&amp;": "&amp;Anmeldung!$D$41&amp;", "&amp;Anmeldung!$E$41&amp;" / "&amp;Anmeldung!$G$41&amp;" / "&amp;Anmeldung!$J$41,"")</f>
        <v/>
      </c>
      <c r="AB28" t="str">
        <f>IF(AND(34&lt;&gt;14,Anmeldung!$D$41&lt;&gt;"",Anmeldung!$G$41&lt;&gt;Anmeldung!$G$21,(Anmeldung!$B$41&amp;": "&amp;Anmeldung!$D$41&amp;", "&amp;Anmeldung!$E$41&amp;" / "&amp;Anmeldung!$G$41&amp;" / "&amp;Anmeldung!$J$41)&lt;&gt;Anmeldung!$S$21),Anmeldung!$B$41&amp;": "&amp;Anmeldung!$D$41&amp;", "&amp;Anmeldung!$E$41&amp;" / "&amp;Anmeldung!$G$41&amp;" / "&amp;Anmeldung!$J$41,"")</f>
        <v/>
      </c>
      <c r="AC28" t="str">
        <f>IF(AND(34&lt;&gt;14,Anmeldung!$D$41&lt;&gt;"",(Anmeldung!$B$41&amp;": "&amp;Anmeldung!$D$41&amp;", "&amp;Anmeldung!$E$41&amp;" / "&amp;Anmeldung!$G$41&amp;" / "&amp;Anmeldung!$J$41)&lt;&gt;Anmeldung!$R$21),Anmeldung!$B$41&amp;": "&amp;Anmeldung!$D$41&amp;", "&amp;Anmeldung!$E$41&amp;" / "&amp;Anmeldung!$G$41&amp;" / "&amp;Anmeldung!$J$41,"")</f>
        <v/>
      </c>
      <c r="AD28" t="str">
        <f>IF(AND(33&lt;&gt;13,Anmeldung!$D$41&lt;&gt;"",Anmeldung!$U$41="Ja",Anmeldung!$G$41=Anmeldung!$G$21,Anmeldung!$J$41=Anmeldung!$J$21),Anmeldung!$B$41&amp;": "&amp;Anmeldung!$D$41&amp;", "&amp;Anmeldung!$E$41&amp;" / "&amp;Anmeldung!$G$41&amp;" / "&amp;Anmeldung!$J$41,"")</f>
        <v/>
      </c>
      <c r="AG28" t="str">
        <f>IF(AND(34&lt;&gt;15,Anmeldung!$D$41&lt;&gt;"",Anmeldung!$G$41=Anmeldung!$G$22,Anmeldung!$J$41=Anmeldung!$J$22),Anmeldung!$B$41&amp;": "&amp;Anmeldung!$D$41&amp;", "&amp;Anmeldung!$E$41&amp;" / "&amp;Anmeldung!$G$41&amp;" / "&amp;Anmeldung!$J$41,"")</f>
        <v/>
      </c>
      <c r="AH28" t="str">
        <f>IF(AND(34&lt;&gt;15,Anmeldung!$D$41&lt;&gt;"",Anmeldung!$G$41=Anmeldung!$G$22,Anmeldung!$J$41=Anmeldung!$J$22,(Anmeldung!$B$41&amp;": "&amp;Anmeldung!$D$41&amp;", "&amp;Anmeldung!$E$41&amp;" / "&amp;Anmeldung!$G$41&amp;" / "&amp;Anmeldung!$J$41)&lt;&gt;Anmeldung!$P$22),Anmeldung!$B$41&amp;": "&amp;Anmeldung!$D$41&amp;", "&amp;Anmeldung!$E$41&amp;" / "&amp;Anmeldung!$G$41&amp;" / "&amp;Anmeldung!$J$41,"")</f>
        <v/>
      </c>
      <c r="AI28" t="str">
        <f>IF(AND(34&lt;&gt;15,Anmeldung!$D$41&lt;&gt;"",Anmeldung!$G$41=Anmeldung!$G$22,Anmeldung!$J$41=Anmeldung!$J$22,(Anmeldung!$B$41&amp;": "&amp;Anmeldung!$D$41&amp;", "&amp;Anmeldung!$E$41&amp;" / "&amp;Anmeldung!$G$41&amp;" / "&amp;Anmeldung!$J$41)&lt;&gt;Anmeldung!$O$22),Anmeldung!$B$41&amp;": "&amp;Anmeldung!$D$41&amp;", "&amp;Anmeldung!$E$41&amp;" / "&amp;Anmeldung!$G$41&amp;" / "&amp;Anmeldung!$J$41,"")</f>
        <v/>
      </c>
      <c r="AJ28" t="str">
        <f>IF(AND(34&lt;&gt;15,Anmeldung!$D$41&lt;&gt;"",Anmeldung!$G$41&lt;&gt;Anmeldung!$G$22,(Anmeldung!$B$41&amp;": "&amp;Anmeldung!$D$41&amp;", "&amp;Anmeldung!$E$41&amp;" / "&amp;Anmeldung!$G$41&amp;" / "&amp;Anmeldung!$J$41)&lt;&gt;Anmeldung!$S$22),Anmeldung!$B$41&amp;": "&amp;Anmeldung!$D$41&amp;", "&amp;Anmeldung!$E$41&amp;" / "&amp;Anmeldung!$G$41&amp;" / "&amp;Anmeldung!$J$41,"")</f>
        <v/>
      </c>
      <c r="AK28" t="str">
        <f>IF(AND(34&lt;&gt;15,Anmeldung!$D$41&lt;&gt;"",(Anmeldung!$B$41&amp;": "&amp;Anmeldung!$D$41&amp;", "&amp;Anmeldung!$E$41&amp;" / "&amp;Anmeldung!$G$41&amp;" / "&amp;Anmeldung!$J$41)&lt;&gt;Anmeldung!$R$22),Anmeldung!$B$41&amp;": "&amp;Anmeldung!$D$41&amp;", "&amp;Anmeldung!$E$41&amp;" / "&amp;Anmeldung!$G$41&amp;" / "&amp;Anmeldung!$J$41,"")</f>
        <v/>
      </c>
      <c r="AL28" t="str">
        <f>IF(AND(33&lt;&gt;14,Anmeldung!$D$41&lt;&gt;"",Anmeldung!$U$41="Ja",Anmeldung!$G$41=Anmeldung!$G$22,Anmeldung!$J$41=Anmeldung!$J$22),Anmeldung!$B$41&amp;": "&amp;Anmeldung!$D$41&amp;", "&amp;Anmeldung!$E$41&amp;" / "&amp;Anmeldung!$G$41&amp;" / "&amp;Anmeldung!$J$41,"")</f>
        <v/>
      </c>
      <c r="AO28" t="str">
        <f>IF(AND(34&lt;&gt;16,Anmeldung!$D$41&lt;&gt;"",Anmeldung!$G$41=Anmeldung!$G$23,Anmeldung!$J$41=Anmeldung!$J$23),Anmeldung!$B$41&amp;": "&amp;Anmeldung!$D$41&amp;", "&amp;Anmeldung!$E$41&amp;" / "&amp;Anmeldung!$G$41&amp;" / "&amp;Anmeldung!$J$41,"")</f>
        <v/>
      </c>
      <c r="AP28" t="str">
        <f>IF(AND(34&lt;&gt;16,Anmeldung!$D$41&lt;&gt;"",Anmeldung!$G$41=Anmeldung!$G$23,Anmeldung!$J$41=Anmeldung!$J$23,(Anmeldung!$B$41&amp;": "&amp;Anmeldung!$D$41&amp;", "&amp;Anmeldung!$E$41&amp;" / "&amp;Anmeldung!$G$41&amp;" / "&amp;Anmeldung!$J$41)&lt;&gt;Anmeldung!$P$23),Anmeldung!$B$41&amp;": "&amp;Anmeldung!$D$41&amp;", "&amp;Anmeldung!$E$41&amp;" / "&amp;Anmeldung!$G$41&amp;" / "&amp;Anmeldung!$J$41,"")</f>
        <v/>
      </c>
      <c r="AQ28" t="str">
        <f>IF(AND(34&lt;&gt;16,Anmeldung!$D$41&lt;&gt;"",Anmeldung!$G$41=Anmeldung!$G$23,Anmeldung!$J$41=Anmeldung!$J$23,(Anmeldung!$B$41&amp;": "&amp;Anmeldung!$D$41&amp;", "&amp;Anmeldung!$E$41&amp;" / "&amp;Anmeldung!$G$41&amp;" / "&amp;Anmeldung!$J$41)&lt;&gt;Anmeldung!$O$23),Anmeldung!$B$41&amp;": "&amp;Anmeldung!$D$41&amp;", "&amp;Anmeldung!$E$41&amp;" / "&amp;Anmeldung!$G$41&amp;" / "&amp;Anmeldung!$J$41,"")</f>
        <v/>
      </c>
      <c r="AR28" t="str">
        <f>IF(AND(34&lt;&gt;16,Anmeldung!$D$41&lt;&gt;"",Anmeldung!$G$41&lt;&gt;Anmeldung!$G$23,(Anmeldung!$B$41&amp;": "&amp;Anmeldung!$D$41&amp;", "&amp;Anmeldung!$E$41&amp;" / "&amp;Anmeldung!$G$41&amp;" / "&amp;Anmeldung!$J$41)&lt;&gt;Anmeldung!$S$23),Anmeldung!$B$41&amp;": "&amp;Anmeldung!$D$41&amp;", "&amp;Anmeldung!$E$41&amp;" / "&amp;Anmeldung!$G$41&amp;" / "&amp;Anmeldung!$J$41,"")</f>
        <v/>
      </c>
      <c r="AS28" t="str">
        <f>IF(AND(34&lt;&gt;16,Anmeldung!$D$41&lt;&gt;"",(Anmeldung!$B$41&amp;": "&amp;Anmeldung!$D$41&amp;", "&amp;Anmeldung!$E$41&amp;" / "&amp;Anmeldung!$G$41&amp;" / "&amp;Anmeldung!$J$41)&lt;&gt;Anmeldung!$R$23),Anmeldung!$B$41&amp;": "&amp;Anmeldung!$D$41&amp;", "&amp;Anmeldung!$E$41&amp;" / "&amp;Anmeldung!$G$41&amp;" / "&amp;Anmeldung!$J$41,"")</f>
        <v/>
      </c>
      <c r="AT28" t="str">
        <f>IF(AND(33&lt;&gt;15,Anmeldung!$D$41&lt;&gt;"",Anmeldung!$U$41="Ja",Anmeldung!$G$41=Anmeldung!$G$23,Anmeldung!$J$41=Anmeldung!$J$23),Anmeldung!$B$41&amp;": "&amp;Anmeldung!$D$41&amp;", "&amp;Anmeldung!$E$41&amp;" / "&amp;Anmeldung!$G$41&amp;" / "&amp;Anmeldung!$J$41,"")</f>
        <v/>
      </c>
      <c r="AW28" t="str">
        <f>IF(AND(34&lt;&gt;17,Anmeldung!$D$41&lt;&gt;"",Anmeldung!$G$41=Anmeldung!$G$24,Anmeldung!$J$41=Anmeldung!$J$24),Anmeldung!$B$41&amp;": "&amp;Anmeldung!$D$41&amp;", "&amp;Anmeldung!$E$41&amp;" / "&amp;Anmeldung!$G$41&amp;" / "&amp;Anmeldung!$J$41,"")</f>
        <v/>
      </c>
      <c r="AX28" t="str">
        <f>IF(AND(34&lt;&gt;17,Anmeldung!$D$41&lt;&gt;"",Anmeldung!$G$41=Anmeldung!$G$24,Anmeldung!$J$41=Anmeldung!$J$24,(Anmeldung!$B$41&amp;": "&amp;Anmeldung!$D$41&amp;", "&amp;Anmeldung!$E$41&amp;" / "&amp;Anmeldung!$G$41&amp;" / "&amp;Anmeldung!$J$41)&lt;&gt;Anmeldung!$P$24),Anmeldung!$B$41&amp;": "&amp;Anmeldung!$D$41&amp;", "&amp;Anmeldung!$E$41&amp;" / "&amp;Anmeldung!$G$41&amp;" / "&amp;Anmeldung!$J$41,"")</f>
        <v/>
      </c>
      <c r="AY28" t="str">
        <f>IF(AND(34&lt;&gt;17,Anmeldung!$D$41&lt;&gt;"",Anmeldung!$G$41=Anmeldung!$G$24,Anmeldung!$J$41=Anmeldung!$J$24,(Anmeldung!$B$41&amp;": "&amp;Anmeldung!$D$41&amp;", "&amp;Anmeldung!$E$41&amp;" / "&amp;Anmeldung!$G$41&amp;" / "&amp;Anmeldung!$J$41)&lt;&gt;Anmeldung!$O$24),Anmeldung!$B$41&amp;": "&amp;Anmeldung!$D$41&amp;", "&amp;Anmeldung!$E$41&amp;" / "&amp;Anmeldung!$G$41&amp;" / "&amp;Anmeldung!$J$41,"")</f>
        <v/>
      </c>
      <c r="AZ28" t="str">
        <f>IF(AND(34&lt;&gt;17,Anmeldung!$D$41&lt;&gt;"",Anmeldung!$G$41&lt;&gt;Anmeldung!$G$24,(Anmeldung!$B$41&amp;": "&amp;Anmeldung!$D$41&amp;", "&amp;Anmeldung!$E$41&amp;" / "&amp;Anmeldung!$G$41&amp;" / "&amp;Anmeldung!$J$41)&lt;&gt;Anmeldung!$S$24),Anmeldung!$B$41&amp;": "&amp;Anmeldung!$D$41&amp;", "&amp;Anmeldung!$E$41&amp;" / "&amp;Anmeldung!$G$41&amp;" / "&amp;Anmeldung!$J$41,"")</f>
        <v/>
      </c>
      <c r="BA28" t="str">
        <f>IF(AND(34&lt;&gt;17,Anmeldung!$D$41&lt;&gt;"",(Anmeldung!$B$41&amp;": "&amp;Anmeldung!$D$41&amp;", "&amp;Anmeldung!$E$41&amp;" / "&amp;Anmeldung!$G$41&amp;" / "&amp;Anmeldung!$J$41)&lt;&gt;Anmeldung!$R$24),Anmeldung!$B$41&amp;": "&amp;Anmeldung!$D$41&amp;", "&amp;Anmeldung!$E$41&amp;" / "&amp;Anmeldung!$G$41&amp;" / "&amp;Anmeldung!$J$41,"")</f>
        <v/>
      </c>
      <c r="BB28" t="str">
        <f>IF(AND(33&lt;&gt;16,Anmeldung!$D$41&lt;&gt;"",Anmeldung!$U$41="Ja",Anmeldung!$G$41=Anmeldung!$G$24,Anmeldung!$J$41=Anmeldung!$J$24),Anmeldung!$B$41&amp;": "&amp;Anmeldung!$D$41&amp;", "&amp;Anmeldung!$E$41&amp;" / "&amp;Anmeldung!$G$41&amp;" / "&amp;Anmeldung!$J$41,"")</f>
        <v/>
      </c>
      <c r="BE28" t="str">
        <f>IF(AND(34&lt;&gt;18,Anmeldung!$D$41&lt;&gt;"",Anmeldung!$G$41=Anmeldung!$G$25,Anmeldung!$J$41=Anmeldung!$J$25),Anmeldung!$B$41&amp;": "&amp;Anmeldung!$D$41&amp;", "&amp;Anmeldung!$E$41&amp;" / "&amp;Anmeldung!$G$41&amp;" / "&amp;Anmeldung!$J$41,"")</f>
        <v/>
      </c>
      <c r="BF28" t="str">
        <f>IF(AND(34&lt;&gt;18,Anmeldung!$D$41&lt;&gt;"",Anmeldung!$G$41=Anmeldung!$G$25,Anmeldung!$J$41=Anmeldung!$J$25,(Anmeldung!$B$41&amp;": "&amp;Anmeldung!$D$41&amp;", "&amp;Anmeldung!$E$41&amp;" / "&amp;Anmeldung!$G$41&amp;" / "&amp;Anmeldung!$J$41)&lt;&gt;Anmeldung!$P$25),Anmeldung!$B$41&amp;": "&amp;Anmeldung!$D$41&amp;", "&amp;Anmeldung!$E$41&amp;" / "&amp;Anmeldung!$G$41&amp;" / "&amp;Anmeldung!$J$41,"")</f>
        <v/>
      </c>
      <c r="BG28" t="str">
        <f>IF(AND(34&lt;&gt;18,Anmeldung!$D$41&lt;&gt;"",Anmeldung!$G$41=Anmeldung!$G$25,Anmeldung!$J$41=Anmeldung!$J$25,(Anmeldung!$B$41&amp;": "&amp;Anmeldung!$D$41&amp;", "&amp;Anmeldung!$E$41&amp;" / "&amp;Anmeldung!$G$41&amp;" / "&amp;Anmeldung!$J$41)&lt;&gt;Anmeldung!$O$25),Anmeldung!$B$41&amp;": "&amp;Anmeldung!$D$41&amp;", "&amp;Anmeldung!$E$41&amp;" / "&amp;Anmeldung!$G$41&amp;" / "&amp;Anmeldung!$J$41,"")</f>
        <v/>
      </c>
      <c r="BH28" t="str">
        <f>IF(AND(34&lt;&gt;18,Anmeldung!$D$41&lt;&gt;"",Anmeldung!$G$41&lt;&gt;Anmeldung!$G$25,(Anmeldung!$B$41&amp;": "&amp;Anmeldung!$D$41&amp;", "&amp;Anmeldung!$E$41&amp;" / "&amp;Anmeldung!$G$41&amp;" / "&amp;Anmeldung!$J$41)&lt;&gt;Anmeldung!$S$25),Anmeldung!$B$41&amp;": "&amp;Anmeldung!$D$41&amp;", "&amp;Anmeldung!$E$41&amp;" / "&amp;Anmeldung!$G$41&amp;" / "&amp;Anmeldung!$J$41,"")</f>
        <v/>
      </c>
      <c r="BI28" t="str">
        <f>IF(AND(34&lt;&gt;18,Anmeldung!$D$41&lt;&gt;"",(Anmeldung!$B$41&amp;": "&amp;Anmeldung!$D$41&amp;", "&amp;Anmeldung!$E$41&amp;" / "&amp;Anmeldung!$G$41&amp;" / "&amp;Anmeldung!$J$41)&lt;&gt;Anmeldung!$R$25),Anmeldung!$B$41&amp;": "&amp;Anmeldung!$D$41&amp;", "&amp;Anmeldung!$E$41&amp;" / "&amp;Anmeldung!$G$41&amp;" / "&amp;Anmeldung!$J$41,"")</f>
        <v/>
      </c>
      <c r="BJ28" t="str">
        <f>IF(AND(33&lt;&gt;17,Anmeldung!$D$41&lt;&gt;"",Anmeldung!$U$41="Ja",Anmeldung!$G$41=Anmeldung!$G$25,Anmeldung!$J$41=Anmeldung!$J$25),Anmeldung!$B$41&amp;": "&amp;Anmeldung!$D$41&amp;", "&amp;Anmeldung!$E$41&amp;" / "&amp;Anmeldung!$G$41&amp;" / "&amp;Anmeldung!$J$41,"")</f>
        <v/>
      </c>
      <c r="BM28" t="str">
        <f>IF(AND(34&lt;&gt;19,Anmeldung!$D$41&lt;&gt;"",Anmeldung!$G$41=Anmeldung!$G$26,Anmeldung!$J$41=Anmeldung!$J$26),Anmeldung!$B$41&amp;": "&amp;Anmeldung!$D$41&amp;", "&amp;Anmeldung!$E$41&amp;" / "&amp;Anmeldung!$G$41&amp;" / "&amp;Anmeldung!$J$41,"")</f>
        <v/>
      </c>
      <c r="BN28" t="str">
        <f>IF(AND(34&lt;&gt;19,Anmeldung!$D$41&lt;&gt;"",Anmeldung!$G$41=Anmeldung!$G$26,Anmeldung!$J$41=Anmeldung!$J$26,(Anmeldung!$B$41&amp;": "&amp;Anmeldung!$D$41&amp;", "&amp;Anmeldung!$E$41&amp;" / "&amp;Anmeldung!$G$41&amp;" / "&amp;Anmeldung!$J$41)&lt;&gt;Anmeldung!$P$26),Anmeldung!$B$41&amp;": "&amp;Anmeldung!$D$41&amp;", "&amp;Anmeldung!$E$41&amp;" / "&amp;Anmeldung!$G$41&amp;" / "&amp;Anmeldung!$J$41,"")</f>
        <v/>
      </c>
      <c r="BO28" t="str">
        <f>IF(AND(34&lt;&gt;19,Anmeldung!$D$41&lt;&gt;"",Anmeldung!$G$41=Anmeldung!$G$26,Anmeldung!$J$41=Anmeldung!$J$26,(Anmeldung!$B$41&amp;": "&amp;Anmeldung!$D$41&amp;", "&amp;Anmeldung!$E$41&amp;" / "&amp;Anmeldung!$G$41&amp;" / "&amp;Anmeldung!$J$41)&lt;&gt;Anmeldung!$O$26),Anmeldung!$B$41&amp;": "&amp;Anmeldung!$D$41&amp;", "&amp;Anmeldung!$E$41&amp;" / "&amp;Anmeldung!$G$41&amp;" / "&amp;Anmeldung!$J$41,"")</f>
        <v/>
      </c>
      <c r="BP28" t="str">
        <f>IF(AND(34&lt;&gt;19,Anmeldung!$D$41&lt;&gt;"",Anmeldung!$G$41&lt;&gt;Anmeldung!$G$26,(Anmeldung!$B$41&amp;": "&amp;Anmeldung!$D$41&amp;", "&amp;Anmeldung!$E$41&amp;" / "&amp;Anmeldung!$G$41&amp;" / "&amp;Anmeldung!$J$41)&lt;&gt;Anmeldung!$S$26),Anmeldung!$B$41&amp;": "&amp;Anmeldung!$D$41&amp;", "&amp;Anmeldung!$E$41&amp;" / "&amp;Anmeldung!$G$41&amp;" / "&amp;Anmeldung!$J$41,"")</f>
        <v/>
      </c>
      <c r="BQ28" t="str">
        <f>IF(AND(34&lt;&gt;19,Anmeldung!$D$41&lt;&gt;"",(Anmeldung!$B$41&amp;": "&amp;Anmeldung!$D$41&amp;", "&amp;Anmeldung!$E$41&amp;" / "&amp;Anmeldung!$G$41&amp;" / "&amp;Anmeldung!$J$41)&lt;&gt;Anmeldung!$R$26),Anmeldung!$B$41&amp;": "&amp;Anmeldung!$D$41&amp;", "&amp;Anmeldung!$E$41&amp;" / "&amp;Anmeldung!$G$41&amp;" / "&amp;Anmeldung!$J$41,"")</f>
        <v/>
      </c>
      <c r="BR28" t="str">
        <f>IF(AND(33&lt;&gt;18,Anmeldung!$D$41&lt;&gt;"",Anmeldung!$U$41="Ja",Anmeldung!$G$41=Anmeldung!$G$26,Anmeldung!$J$41=Anmeldung!$J$26),Anmeldung!$B$41&amp;": "&amp;Anmeldung!$D$41&amp;", "&amp;Anmeldung!$E$41&amp;" / "&amp;Anmeldung!$G$41&amp;" / "&amp;Anmeldung!$J$41,"")</f>
        <v/>
      </c>
      <c r="BU28" t="str">
        <f>IF(AND(34&lt;&gt;20,Anmeldung!$D$41&lt;&gt;"",Anmeldung!$G$41=Anmeldung!$G$27,Anmeldung!$J$41=Anmeldung!$J$27),Anmeldung!$B$41&amp;": "&amp;Anmeldung!$D$41&amp;", "&amp;Anmeldung!$E$41&amp;" / "&amp;Anmeldung!$G$41&amp;" / "&amp;Anmeldung!$J$41,"")</f>
        <v/>
      </c>
      <c r="BV28" t="str">
        <f>IF(AND(34&lt;&gt;20,Anmeldung!$D$41&lt;&gt;"",Anmeldung!$G$41=Anmeldung!$G$27,Anmeldung!$J$41=Anmeldung!$J$27,(Anmeldung!$B$41&amp;": "&amp;Anmeldung!$D$41&amp;", "&amp;Anmeldung!$E$41&amp;" / "&amp;Anmeldung!$G$41&amp;" / "&amp;Anmeldung!$J$41)&lt;&gt;Anmeldung!$P$27),Anmeldung!$B$41&amp;": "&amp;Anmeldung!$D$41&amp;", "&amp;Anmeldung!$E$41&amp;" / "&amp;Anmeldung!$G$41&amp;" / "&amp;Anmeldung!$J$41,"")</f>
        <v/>
      </c>
      <c r="BW28" t="str">
        <f>IF(AND(34&lt;&gt;20,Anmeldung!$D$41&lt;&gt;"",Anmeldung!$G$41=Anmeldung!$G$27,Anmeldung!$J$41=Anmeldung!$J$27,(Anmeldung!$B$41&amp;": "&amp;Anmeldung!$D$41&amp;", "&amp;Anmeldung!$E$41&amp;" / "&amp;Anmeldung!$G$41&amp;" / "&amp;Anmeldung!$J$41)&lt;&gt;Anmeldung!$O$27),Anmeldung!$B$41&amp;": "&amp;Anmeldung!$D$41&amp;", "&amp;Anmeldung!$E$41&amp;" / "&amp;Anmeldung!$G$41&amp;" / "&amp;Anmeldung!$J$41,"")</f>
        <v/>
      </c>
      <c r="BX28" t="str">
        <f>IF(AND(34&lt;&gt;20,Anmeldung!$D$41&lt;&gt;"",Anmeldung!$G$41&lt;&gt;Anmeldung!$G$27,(Anmeldung!$B$41&amp;": "&amp;Anmeldung!$D$41&amp;", "&amp;Anmeldung!$E$41&amp;" / "&amp;Anmeldung!$G$41&amp;" / "&amp;Anmeldung!$J$41)&lt;&gt;Anmeldung!$S$27),Anmeldung!$B$41&amp;": "&amp;Anmeldung!$D$41&amp;", "&amp;Anmeldung!$E$41&amp;" / "&amp;Anmeldung!$G$41&amp;" / "&amp;Anmeldung!$J$41,"")</f>
        <v/>
      </c>
      <c r="BY28" t="str">
        <f>IF(AND(34&lt;&gt;20,Anmeldung!$D$41&lt;&gt;"",(Anmeldung!$B$41&amp;": "&amp;Anmeldung!$D$41&amp;", "&amp;Anmeldung!$E$41&amp;" / "&amp;Anmeldung!$G$41&amp;" / "&amp;Anmeldung!$J$41)&lt;&gt;Anmeldung!$R$27),Anmeldung!$B$41&amp;": "&amp;Anmeldung!$D$41&amp;", "&amp;Anmeldung!$E$41&amp;" / "&amp;Anmeldung!$G$41&amp;" / "&amp;Anmeldung!$J$41,"")</f>
        <v/>
      </c>
      <c r="BZ28" t="str">
        <f>IF(AND(33&lt;&gt;19,Anmeldung!$D$41&lt;&gt;"",Anmeldung!$U$41="Ja",Anmeldung!$G$41=Anmeldung!$G$27,Anmeldung!$J$41=Anmeldung!$J$27),Anmeldung!$B$41&amp;": "&amp;Anmeldung!$D$41&amp;", "&amp;Anmeldung!$E$41&amp;" / "&amp;Anmeldung!$G$41&amp;" / "&amp;Anmeldung!$J$41,"")</f>
        <v/>
      </c>
      <c r="CC28" t="str">
        <f>IF(AND(34&lt;&gt;21,Anmeldung!$D$41&lt;&gt;"",Anmeldung!$G$41=Anmeldung!$G$28,Anmeldung!$J$41=Anmeldung!$J$28),Anmeldung!$B$41&amp;": "&amp;Anmeldung!$D$41&amp;", "&amp;Anmeldung!$E$41&amp;" / "&amp;Anmeldung!$G$41&amp;" / "&amp;Anmeldung!$J$41,"")</f>
        <v/>
      </c>
      <c r="CD28" t="str">
        <f>IF(AND(34&lt;&gt;21,Anmeldung!$D$41&lt;&gt;"",Anmeldung!$G$41=Anmeldung!$G$28,Anmeldung!$J$41=Anmeldung!$J$28,(Anmeldung!$B$41&amp;": "&amp;Anmeldung!$D$41&amp;", "&amp;Anmeldung!$E$41&amp;" / "&amp;Anmeldung!$G$41&amp;" / "&amp;Anmeldung!$J$41)&lt;&gt;Anmeldung!$P$28),Anmeldung!$B$41&amp;": "&amp;Anmeldung!$D$41&amp;", "&amp;Anmeldung!$E$41&amp;" / "&amp;Anmeldung!$G$41&amp;" / "&amp;Anmeldung!$J$41,"")</f>
        <v/>
      </c>
      <c r="CE28" t="str">
        <f>IF(AND(34&lt;&gt;21,Anmeldung!$D$41&lt;&gt;"",Anmeldung!$G$41=Anmeldung!$G$28,Anmeldung!$J$41=Anmeldung!$J$28,(Anmeldung!$B$41&amp;": "&amp;Anmeldung!$D$41&amp;", "&amp;Anmeldung!$E$41&amp;" / "&amp;Anmeldung!$G$41&amp;" / "&amp;Anmeldung!$J$41)&lt;&gt;Anmeldung!$O$28),Anmeldung!$B$41&amp;": "&amp;Anmeldung!$D$41&amp;", "&amp;Anmeldung!$E$41&amp;" / "&amp;Anmeldung!$G$41&amp;" / "&amp;Anmeldung!$J$41,"")</f>
        <v/>
      </c>
      <c r="CF28" t="str">
        <f>IF(AND(34&lt;&gt;21,Anmeldung!$D$41&lt;&gt;"",Anmeldung!$G$41&lt;&gt;Anmeldung!$G$28,(Anmeldung!$B$41&amp;": "&amp;Anmeldung!$D$41&amp;", "&amp;Anmeldung!$E$41&amp;" / "&amp;Anmeldung!$G$41&amp;" / "&amp;Anmeldung!$J$41)&lt;&gt;Anmeldung!$S$28),Anmeldung!$B$41&amp;": "&amp;Anmeldung!$D$41&amp;", "&amp;Anmeldung!$E$41&amp;" / "&amp;Anmeldung!$G$41&amp;" / "&amp;Anmeldung!$J$41,"")</f>
        <v/>
      </c>
      <c r="CG28" t="str">
        <f>IF(AND(34&lt;&gt;21,Anmeldung!$D$41&lt;&gt;"",(Anmeldung!$B$41&amp;": "&amp;Anmeldung!$D$41&amp;", "&amp;Anmeldung!$E$41&amp;" / "&amp;Anmeldung!$G$41&amp;" / "&amp;Anmeldung!$J$41)&lt;&gt;Anmeldung!$R$28),Anmeldung!$B$41&amp;": "&amp;Anmeldung!$D$41&amp;", "&amp;Anmeldung!$E$41&amp;" / "&amp;Anmeldung!$G$41&amp;" / "&amp;Anmeldung!$J$41,"")</f>
        <v/>
      </c>
      <c r="CH28" t="str">
        <f>IF(AND(33&lt;&gt;20,Anmeldung!$D$41&lt;&gt;"",Anmeldung!$U$41="Ja",Anmeldung!$G$41=Anmeldung!$G$28,Anmeldung!$J$41=Anmeldung!$J$28),Anmeldung!$B$41&amp;": "&amp;Anmeldung!$D$41&amp;", "&amp;Anmeldung!$E$41&amp;" / "&amp;Anmeldung!$G$41&amp;" / "&amp;Anmeldung!$J$41,"")</f>
        <v/>
      </c>
      <c r="CK28" t="str">
        <f>IF(AND(34&lt;&gt;22,Anmeldung!$D$41&lt;&gt;"",Anmeldung!$G$41=Anmeldung!$G$29,Anmeldung!$J$41=Anmeldung!$J$29),Anmeldung!$B$41&amp;": "&amp;Anmeldung!$D$41&amp;", "&amp;Anmeldung!$E$41&amp;" / "&amp;Anmeldung!$G$41&amp;" / "&amp;Anmeldung!$J$41,"")</f>
        <v/>
      </c>
      <c r="CL28" t="str">
        <f>IF(AND(34&lt;&gt;22,Anmeldung!$D$41&lt;&gt;"",Anmeldung!$G$41=Anmeldung!$G$29,Anmeldung!$J$41=Anmeldung!$J$29,(Anmeldung!$B$41&amp;": "&amp;Anmeldung!$D$41&amp;", "&amp;Anmeldung!$E$41&amp;" / "&amp;Anmeldung!$G$41&amp;" / "&amp;Anmeldung!$J$41)&lt;&gt;Anmeldung!$P$29),Anmeldung!$B$41&amp;": "&amp;Anmeldung!$D$41&amp;", "&amp;Anmeldung!$E$41&amp;" / "&amp;Anmeldung!$G$41&amp;" / "&amp;Anmeldung!$J$41,"")</f>
        <v/>
      </c>
      <c r="CM28" t="str">
        <f>IF(AND(34&lt;&gt;22,Anmeldung!$D$41&lt;&gt;"",Anmeldung!$G$41=Anmeldung!$G$29,Anmeldung!$J$41=Anmeldung!$J$29,(Anmeldung!$B$41&amp;": "&amp;Anmeldung!$D$41&amp;", "&amp;Anmeldung!$E$41&amp;" / "&amp;Anmeldung!$G$41&amp;" / "&amp;Anmeldung!$J$41)&lt;&gt;Anmeldung!$O$29),Anmeldung!$B$41&amp;": "&amp;Anmeldung!$D$41&amp;", "&amp;Anmeldung!$E$41&amp;" / "&amp;Anmeldung!$G$41&amp;" / "&amp;Anmeldung!$J$41,"")</f>
        <v/>
      </c>
      <c r="CN28" t="str">
        <f>IF(AND(34&lt;&gt;22,Anmeldung!$D$41&lt;&gt;"",Anmeldung!$G$41&lt;&gt;Anmeldung!$G$29,(Anmeldung!$B$41&amp;": "&amp;Anmeldung!$D$41&amp;", "&amp;Anmeldung!$E$41&amp;" / "&amp;Anmeldung!$G$41&amp;" / "&amp;Anmeldung!$J$41)&lt;&gt;Anmeldung!$S$29),Anmeldung!$B$41&amp;": "&amp;Anmeldung!$D$41&amp;", "&amp;Anmeldung!$E$41&amp;" / "&amp;Anmeldung!$G$41&amp;" / "&amp;Anmeldung!$J$41,"")</f>
        <v/>
      </c>
      <c r="CO28" t="str">
        <f>IF(AND(34&lt;&gt;22,Anmeldung!$D$41&lt;&gt;"",(Anmeldung!$B$41&amp;": "&amp;Anmeldung!$D$41&amp;", "&amp;Anmeldung!$E$41&amp;" / "&amp;Anmeldung!$G$41&amp;" / "&amp;Anmeldung!$J$41)&lt;&gt;Anmeldung!$R$29),Anmeldung!$B$41&amp;": "&amp;Anmeldung!$D$41&amp;", "&amp;Anmeldung!$E$41&amp;" / "&amp;Anmeldung!$G$41&amp;" / "&amp;Anmeldung!$J$41,"")</f>
        <v/>
      </c>
      <c r="CP28" t="str">
        <f>IF(AND(33&lt;&gt;21,Anmeldung!$D$41&lt;&gt;"",Anmeldung!$U$41="Ja",Anmeldung!$G$41=Anmeldung!$G$29,Anmeldung!$J$41=Anmeldung!$J$29),Anmeldung!$B$41&amp;": "&amp;Anmeldung!$D$41&amp;", "&amp;Anmeldung!$E$41&amp;" / "&amp;Anmeldung!$G$41&amp;" / "&amp;Anmeldung!$J$41,"")</f>
        <v/>
      </c>
      <c r="CS28" t="str">
        <f>IF(AND(34&lt;&gt;23,Anmeldung!$D$41&lt;&gt;"",Anmeldung!$G$41=Anmeldung!$G$30,Anmeldung!$J$41=Anmeldung!$J$30),Anmeldung!$B$41&amp;": "&amp;Anmeldung!$D$41&amp;", "&amp;Anmeldung!$E$41&amp;" / "&amp;Anmeldung!$G$41&amp;" / "&amp;Anmeldung!$J$41,"")</f>
        <v/>
      </c>
      <c r="CT28" t="str">
        <f>IF(AND(34&lt;&gt;23,Anmeldung!$D$41&lt;&gt;"",Anmeldung!$G$41=Anmeldung!$G$30,Anmeldung!$J$41=Anmeldung!$J$30,(Anmeldung!$B$41&amp;": "&amp;Anmeldung!$D$41&amp;", "&amp;Anmeldung!$E$41&amp;" / "&amp;Anmeldung!$G$41&amp;" / "&amp;Anmeldung!$J$41)&lt;&gt;Anmeldung!$P$30),Anmeldung!$B$41&amp;": "&amp;Anmeldung!$D$41&amp;", "&amp;Anmeldung!$E$41&amp;" / "&amp;Anmeldung!$G$41&amp;" / "&amp;Anmeldung!$J$41,"")</f>
        <v/>
      </c>
      <c r="CU28" t="str">
        <f>IF(AND(34&lt;&gt;23,Anmeldung!$D$41&lt;&gt;"",Anmeldung!$G$41=Anmeldung!$G$30,Anmeldung!$J$41=Anmeldung!$J$30,(Anmeldung!$B$41&amp;": "&amp;Anmeldung!$D$41&amp;", "&amp;Anmeldung!$E$41&amp;" / "&amp;Anmeldung!$G$41&amp;" / "&amp;Anmeldung!$J$41)&lt;&gt;Anmeldung!$O$30),Anmeldung!$B$41&amp;": "&amp;Anmeldung!$D$41&amp;", "&amp;Anmeldung!$E$41&amp;" / "&amp;Anmeldung!$G$41&amp;" / "&amp;Anmeldung!$J$41,"")</f>
        <v/>
      </c>
      <c r="CV28" t="str">
        <f>IF(AND(34&lt;&gt;23,Anmeldung!$D$41&lt;&gt;"",Anmeldung!$G$41&lt;&gt;Anmeldung!$G$30,(Anmeldung!$B$41&amp;": "&amp;Anmeldung!$D$41&amp;", "&amp;Anmeldung!$E$41&amp;" / "&amp;Anmeldung!$G$41&amp;" / "&amp;Anmeldung!$J$41)&lt;&gt;Anmeldung!$S$30),Anmeldung!$B$41&amp;": "&amp;Anmeldung!$D$41&amp;", "&amp;Anmeldung!$E$41&amp;" / "&amp;Anmeldung!$G$41&amp;" / "&amp;Anmeldung!$J$41,"")</f>
        <v/>
      </c>
      <c r="CW28" t="str">
        <f>IF(AND(34&lt;&gt;23,Anmeldung!$D$41&lt;&gt;"",(Anmeldung!$B$41&amp;": "&amp;Anmeldung!$D$41&amp;", "&amp;Anmeldung!$E$41&amp;" / "&amp;Anmeldung!$G$41&amp;" / "&amp;Anmeldung!$J$41)&lt;&gt;Anmeldung!$R$30),Anmeldung!$B$41&amp;": "&amp;Anmeldung!$D$41&amp;", "&amp;Anmeldung!$E$41&amp;" / "&amp;Anmeldung!$G$41&amp;" / "&amp;Anmeldung!$J$41,"")</f>
        <v/>
      </c>
      <c r="CX28" t="str">
        <f>IF(AND(33&lt;&gt;22,Anmeldung!$D$41&lt;&gt;"",Anmeldung!$U$41="Ja",Anmeldung!$G$41=Anmeldung!$G$30,Anmeldung!$J$41=Anmeldung!$J$30),Anmeldung!$B$41&amp;": "&amp;Anmeldung!$D$41&amp;", "&amp;Anmeldung!$E$41&amp;" / "&amp;Anmeldung!$G$41&amp;" / "&amp;Anmeldung!$J$41,"")</f>
        <v/>
      </c>
      <c r="DA28" t="str">
        <f>IF(AND(34&lt;&gt;24,Anmeldung!$D$41&lt;&gt;"",Anmeldung!$G$41=Anmeldung!$G$31,Anmeldung!$J$41=Anmeldung!$J$31),Anmeldung!$B$41&amp;": "&amp;Anmeldung!$D$41&amp;", "&amp;Anmeldung!$E$41&amp;" / "&amp;Anmeldung!$G$41&amp;" / "&amp;Anmeldung!$J$41,"")</f>
        <v/>
      </c>
      <c r="DB28" t="str">
        <f>IF(AND(34&lt;&gt;24,Anmeldung!$D$41&lt;&gt;"",Anmeldung!$G$41=Anmeldung!$G$31,Anmeldung!$J$41=Anmeldung!$J$31,(Anmeldung!$B$41&amp;": "&amp;Anmeldung!$D$41&amp;", "&amp;Anmeldung!$E$41&amp;" / "&amp;Anmeldung!$G$41&amp;" / "&amp;Anmeldung!$J$41)&lt;&gt;Anmeldung!$P$31),Anmeldung!$B$41&amp;": "&amp;Anmeldung!$D$41&amp;", "&amp;Anmeldung!$E$41&amp;" / "&amp;Anmeldung!$G$41&amp;" / "&amp;Anmeldung!$J$41,"")</f>
        <v/>
      </c>
      <c r="DC28" t="str">
        <f>IF(AND(34&lt;&gt;24,Anmeldung!$D$41&lt;&gt;"",Anmeldung!$G$41=Anmeldung!$G$31,Anmeldung!$J$41=Anmeldung!$J$31,(Anmeldung!$B$41&amp;": "&amp;Anmeldung!$D$41&amp;", "&amp;Anmeldung!$E$41&amp;" / "&amp;Anmeldung!$G$41&amp;" / "&amp;Anmeldung!$J$41)&lt;&gt;Anmeldung!$O$31),Anmeldung!$B$41&amp;": "&amp;Anmeldung!$D$41&amp;", "&amp;Anmeldung!$E$41&amp;" / "&amp;Anmeldung!$G$41&amp;" / "&amp;Anmeldung!$J$41,"")</f>
        <v/>
      </c>
      <c r="DD28" t="str">
        <f>IF(AND(34&lt;&gt;24,Anmeldung!$D$41&lt;&gt;"",Anmeldung!$G$41&lt;&gt;Anmeldung!$G$31,(Anmeldung!$B$41&amp;": "&amp;Anmeldung!$D$41&amp;", "&amp;Anmeldung!$E$41&amp;" / "&amp;Anmeldung!$G$41&amp;" / "&amp;Anmeldung!$J$41)&lt;&gt;Anmeldung!$S$31),Anmeldung!$B$41&amp;": "&amp;Anmeldung!$D$41&amp;", "&amp;Anmeldung!$E$41&amp;" / "&amp;Anmeldung!$G$41&amp;" / "&amp;Anmeldung!$J$41,"")</f>
        <v/>
      </c>
      <c r="DE28" t="str">
        <f>IF(AND(34&lt;&gt;24,Anmeldung!$D$41&lt;&gt;"",(Anmeldung!$B$41&amp;": "&amp;Anmeldung!$D$41&amp;", "&amp;Anmeldung!$E$41&amp;" / "&amp;Anmeldung!$G$41&amp;" / "&amp;Anmeldung!$J$41)&lt;&gt;Anmeldung!$R$31),Anmeldung!$B$41&amp;": "&amp;Anmeldung!$D$41&amp;", "&amp;Anmeldung!$E$41&amp;" / "&amp;Anmeldung!$G$41&amp;" / "&amp;Anmeldung!$J$41,"")</f>
        <v/>
      </c>
      <c r="DF28" t="str">
        <f>IF(AND(33&lt;&gt;23,Anmeldung!$D$41&lt;&gt;"",Anmeldung!$U$41="Ja",Anmeldung!$G$41=Anmeldung!$G$31,Anmeldung!$J$41=Anmeldung!$J$31),Anmeldung!$B$41&amp;": "&amp;Anmeldung!$D$41&amp;", "&amp;Anmeldung!$E$41&amp;" / "&amp;Anmeldung!$G$41&amp;" / "&amp;Anmeldung!$J$41,"")</f>
        <v/>
      </c>
      <c r="DI28" t="str">
        <f>IF(AND(34&lt;&gt;25,Anmeldung!$D$41&lt;&gt;"",Anmeldung!$G$41=Anmeldung!$G$32,Anmeldung!$J$41=Anmeldung!$J$32),Anmeldung!$B$41&amp;": "&amp;Anmeldung!$D$41&amp;", "&amp;Anmeldung!$E$41&amp;" / "&amp;Anmeldung!$G$41&amp;" / "&amp;Anmeldung!$J$41,"")</f>
        <v/>
      </c>
      <c r="DJ28" t="str">
        <f>IF(AND(34&lt;&gt;25,Anmeldung!$D$41&lt;&gt;"",Anmeldung!$G$41=Anmeldung!$G$32,Anmeldung!$J$41=Anmeldung!$J$32,(Anmeldung!$B$41&amp;": "&amp;Anmeldung!$D$41&amp;", "&amp;Anmeldung!$E$41&amp;" / "&amp;Anmeldung!$G$41&amp;" / "&amp;Anmeldung!$J$41)&lt;&gt;Anmeldung!$P$32),Anmeldung!$B$41&amp;": "&amp;Anmeldung!$D$41&amp;", "&amp;Anmeldung!$E$41&amp;" / "&amp;Anmeldung!$G$41&amp;" / "&amp;Anmeldung!$J$41,"")</f>
        <v/>
      </c>
      <c r="DK28" t="str">
        <f>IF(AND(34&lt;&gt;25,Anmeldung!$D$41&lt;&gt;"",Anmeldung!$G$41=Anmeldung!$G$32,Anmeldung!$J$41=Anmeldung!$J$32,(Anmeldung!$B$41&amp;": "&amp;Anmeldung!$D$41&amp;", "&amp;Anmeldung!$E$41&amp;" / "&amp;Anmeldung!$G$41&amp;" / "&amp;Anmeldung!$J$41)&lt;&gt;Anmeldung!$O$32),Anmeldung!$B$41&amp;": "&amp;Anmeldung!$D$41&amp;", "&amp;Anmeldung!$E$41&amp;" / "&amp;Anmeldung!$G$41&amp;" / "&amp;Anmeldung!$J$41,"")</f>
        <v/>
      </c>
      <c r="DL28" t="str">
        <f>IF(AND(34&lt;&gt;25,Anmeldung!$D$41&lt;&gt;"",Anmeldung!$G$41&lt;&gt;Anmeldung!$G$32,(Anmeldung!$B$41&amp;": "&amp;Anmeldung!$D$41&amp;", "&amp;Anmeldung!$E$41&amp;" / "&amp;Anmeldung!$G$41&amp;" / "&amp;Anmeldung!$J$41)&lt;&gt;Anmeldung!$S$32),Anmeldung!$B$41&amp;": "&amp;Anmeldung!$D$41&amp;", "&amp;Anmeldung!$E$41&amp;" / "&amp;Anmeldung!$G$41&amp;" / "&amp;Anmeldung!$J$41,"")</f>
        <v/>
      </c>
      <c r="DM28" t="str">
        <f>IF(AND(34&lt;&gt;25,Anmeldung!$D$41&lt;&gt;"",(Anmeldung!$B$41&amp;": "&amp;Anmeldung!$D$41&amp;", "&amp;Anmeldung!$E$41&amp;" / "&amp;Anmeldung!$G$41&amp;" / "&amp;Anmeldung!$J$41)&lt;&gt;Anmeldung!$R$32),Anmeldung!$B$41&amp;": "&amp;Anmeldung!$D$41&amp;", "&amp;Anmeldung!$E$41&amp;" / "&amp;Anmeldung!$G$41&amp;" / "&amp;Anmeldung!$J$41,"")</f>
        <v/>
      </c>
      <c r="DN28" t="str">
        <f>IF(AND(33&lt;&gt;24,Anmeldung!$D$41&lt;&gt;"",Anmeldung!$U$41="Ja",Anmeldung!$G$41=Anmeldung!$G$32,Anmeldung!$J$41=Anmeldung!$J$32),Anmeldung!$B$41&amp;": "&amp;Anmeldung!$D$41&amp;", "&amp;Anmeldung!$E$41&amp;" / "&amp;Anmeldung!$G$41&amp;" / "&amp;Anmeldung!$J$41,"")</f>
        <v/>
      </c>
      <c r="DQ28" t="str">
        <f>IF(AND(34&lt;&gt;26,Anmeldung!$D$41&lt;&gt;"",Anmeldung!$G$41=Anmeldung!$G$33,Anmeldung!$J$41=Anmeldung!$J$33),Anmeldung!$B$41&amp;": "&amp;Anmeldung!$D$41&amp;", "&amp;Anmeldung!$E$41&amp;" / "&amp;Anmeldung!$G$41&amp;" / "&amp;Anmeldung!$J$41,"")</f>
        <v/>
      </c>
      <c r="DR28" t="str">
        <f>IF(AND(34&lt;&gt;26,Anmeldung!$D$41&lt;&gt;"",Anmeldung!$G$41=Anmeldung!$G$33,Anmeldung!$J$41=Anmeldung!$J$33,(Anmeldung!$B$41&amp;": "&amp;Anmeldung!$D$41&amp;", "&amp;Anmeldung!$E$41&amp;" / "&amp;Anmeldung!$G$41&amp;" / "&amp;Anmeldung!$J$41)&lt;&gt;Anmeldung!$P$33),Anmeldung!$B$41&amp;": "&amp;Anmeldung!$D$41&amp;", "&amp;Anmeldung!$E$41&amp;" / "&amp;Anmeldung!$G$41&amp;" / "&amp;Anmeldung!$J$41,"")</f>
        <v/>
      </c>
      <c r="DS28" t="str">
        <f>IF(AND(34&lt;&gt;26,Anmeldung!$D$41&lt;&gt;"",Anmeldung!$G$41=Anmeldung!$G$33,Anmeldung!$J$41=Anmeldung!$J$33,(Anmeldung!$B$41&amp;": "&amp;Anmeldung!$D$41&amp;", "&amp;Anmeldung!$E$41&amp;" / "&amp;Anmeldung!$G$41&amp;" / "&amp;Anmeldung!$J$41)&lt;&gt;Anmeldung!$O$33),Anmeldung!$B$41&amp;": "&amp;Anmeldung!$D$41&amp;", "&amp;Anmeldung!$E$41&amp;" / "&amp;Anmeldung!$G$41&amp;" / "&amp;Anmeldung!$J$41,"")</f>
        <v/>
      </c>
      <c r="DT28" t="str">
        <f>IF(AND(34&lt;&gt;26,Anmeldung!$D$41&lt;&gt;"",Anmeldung!$G$41&lt;&gt;Anmeldung!$G$33,(Anmeldung!$B$41&amp;": "&amp;Anmeldung!$D$41&amp;", "&amp;Anmeldung!$E$41&amp;" / "&amp;Anmeldung!$G$41&amp;" / "&amp;Anmeldung!$J$41)&lt;&gt;Anmeldung!$S$33),Anmeldung!$B$41&amp;": "&amp;Anmeldung!$D$41&amp;", "&amp;Anmeldung!$E$41&amp;" / "&amp;Anmeldung!$G$41&amp;" / "&amp;Anmeldung!$J$41,"")</f>
        <v/>
      </c>
      <c r="DU28" t="str">
        <f>IF(AND(34&lt;&gt;26,Anmeldung!$D$41&lt;&gt;"",(Anmeldung!$B$41&amp;": "&amp;Anmeldung!$D$41&amp;", "&amp;Anmeldung!$E$41&amp;" / "&amp;Anmeldung!$G$41&amp;" / "&amp;Anmeldung!$J$41)&lt;&gt;Anmeldung!$R$33),Anmeldung!$B$41&amp;": "&amp;Anmeldung!$D$41&amp;", "&amp;Anmeldung!$E$41&amp;" / "&amp;Anmeldung!$G$41&amp;" / "&amp;Anmeldung!$J$41,"")</f>
        <v/>
      </c>
      <c r="DV28" t="str">
        <f>IF(AND(33&lt;&gt;25,Anmeldung!$D$41&lt;&gt;"",Anmeldung!$U$41="Ja",Anmeldung!$G$41=Anmeldung!$G$33,Anmeldung!$J$41=Anmeldung!$J$33),Anmeldung!$B$41&amp;": "&amp;Anmeldung!$D$41&amp;", "&amp;Anmeldung!$E$41&amp;" / "&amp;Anmeldung!$G$41&amp;" / "&amp;Anmeldung!$J$41,"")</f>
        <v/>
      </c>
      <c r="DY28" t="str">
        <f>IF(AND(34&lt;&gt;27,Anmeldung!$D$41&lt;&gt;"",Anmeldung!$G$41=Anmeldung!$G$34,Anmeldung!$J$41=Anmeldung!$J$34),Anmeldung!$B$41&amp;": "&amp;Anmeldung!$D$41&amp;", "&amp;Anmeldung!$E$41&amp;" / "&amp;Anmeldung!$G$41&amp;" / "&amp;Anmeldung!$J$41,"")</f>
        <v/>
      </c>
      <c r="DZ28" t="str">
        <f>IF(AND(34&lt;&gt;27,Anmeldung!$D$41&lt;&gt;"",Anmeldung!$G$41=Anmeldung!$G$34,Anmeldung!$J$41=Anmeldung!$J$34,(Anmeldung!$B$41&amp;": "&amp;Anmeldung!$D$41&amp;", "&amp;Anmeldung!$E$41&amp;" / "&amp;Anmeldung!$G$41&amp;" / "&amp;Anmeldung!$J$41)&lt;&gt;Anmeldung!$P$34),Anmeldung!$B$41&amp;": "&amp;Anmeldung!$D$41&amp;", "&amp;Anmeldung!$E$41&amp;" / "&amp;Anmeldung!$G$41&amp;" / "&amp;Anmeldung!$J$41,"")</f>
        <v/>
      </c>
      <c r="EA28" t="str">
        <f>IF(AND(34&lt;&gt;27,Anmeldung!$D$41&lt;&gt;"",Anmeldung!$G$41=Anmeldung!$G$34,Anmeldung!$J$41=Anmeldung!$J$34,(Anmeldung!$B$41&amp;": "&amp;Anmeldung!$D$41&amp;", "&amp;Anmeldung!$E$41&amp;" / "&amp;Anmeldung!$G$41&amp;" / "&amp;Anmeldung!$J$41)&lt;&gt;Anmeldung!$O$34),Anmeldung!$B$41&amp;": "&amp;Anmeldung!$D$41&amp;", "&amp;Anmeldung!$E$41&amp;" / "&amp;Anmeldung!$G$41&amp;" / "&amp;Anmeldung!$J$41,"")</f>
        <v/>
      </c>
      <c r="EB28" t="str">
        <f>IF(AND(34&lt;&gt;27,Anmeldung!$D$41&lt;&gt;"",Anmeldung!$G$41&lt;&gt;Anmeldung!$G$34,(Anmeldung!$B$41&amp;": "&amp;Anmeldung!$D$41&amp;", "&amp;Anmeldung!$E$41&amp;" / "&amp;Anmeldung!$G$41&amp;" / "&amp;Anmeldung!$J$41)&lt;&gt;Anmeldung!$S$34),Anmeldung!$B$41&amp;": "&amp;Anmeldung!$D$41&amp;", "&amp;Anmeldung!$E$41&amp;" / "&amp;Anmeldung!$G$41&amp;" / "&amp;Anmeldung!$J$41,"")</f>
        <v/>
      </c>
      <c r="EC28" t="str">
        <f>IF(AND(34&lt;&gt;27,Anmeldung!$D$41&lt;&gt;"",(Anmeldung!$B$41&amp;": "&amp;Anmeldung!$D$41&amp;", "&amp;Anmeldung!$E$41&amp;" / "&amp;Anmeldung!$G$41&amp;" / "&amp;Anmeldung!$J$41)&lt;&gt;Anmeldung!$R$34),Anmeldung!$B$41&amp;": "&amp;Anmeldung!$D$41&amp;", "&amp;Anmeldung!$E$41&amp;" / "&amp;Anmeldung!$G$41&amp;" / "&amp;Anmeldung!$J$41,"")</f>
        <v/>
      </c>
      <c r="ED28" t="str">
        <f>IF(AND(33&lt;&gt;26,Anmeldung!$D$41&lt;&gt;"",Anmeldung!$U$41="Ja",Anmeldung!$G$41=Anmeldung!$G$34,Anmeldung!$J$41=Anmeldung!$J$34),Anmeldung!$B$41&amp;": "&amp;Anmeldung!$D$41&amp;", "&amp;Anmeldung!$E$41&amp;" / "&amp;Anmeldung!$G$41&amp;" / "&amp;Anmeldung!$J$41,"")</f>
        <v/>
      </c>
      <c r="EG28" t="str">
        <f>IF(AND(34&lt;&gt;28,Anmeldung!$D$41&lt;&gt;"",Anmeldung!$G$41=Anmeldung!$G$35,Anmeldung!$J$41=Anmeldung!$J$35),Anmeldung!$B$41&amp;": "&amp;Anmeldung!$D$41&amp;", "&amp;Anmeldung!$E$41&amp;" / "&amp;Anmeldung!$G$41&amp;" / "&amp;Anmeldung!$J$41,"")</f>
        <v/>
      </c>
      <c r="EH28" t="str">
        <f>IF(AND(34&lt;&gt;28,Anmeldung!$D$41&lt;&gt;"",Anmeldung!$G$41=Anmeldung!$G$35,Anmeldung!$J$41=Anmeldung!$J$35,(Anmeldung!$B$41&amp;": "&amp;Anmeldung!$D$41&amp;", "&amp;Anmeldung!$E$41&amp;" / "&amp;Anmeldung!$G$41&amp;" / "&amp;Anmeldung!$J$41)&lt;&gt;Anmeldung!$P$35),Anmeldung!$B$41&amp;": "&amp;Anmeldung!$D$41&amp;", "&amp;Anmeldung!$E$41&amp;" / "&amp;Anmeldung!$G$41&amp;" / "&amp;Anmeldung!$J$41,"")</f>
        <v/>
      </c>
      <c r="EI28" t="str">
        <f>IF(AND(34&lt;&gt;28,Anmeldung!$D$41&lt;&gt;"",Anmeldung!$G$41=Anmeldung!$G$35,Anmeldung!$J$41=Anmeldung!$J$35,(Anmeldung!$B$41&amp;": "&amp;Anmeldung!$D$41&amp;", "&amp;Anmeldung!$E$41&amp;" / "&amp;Anmeldung!$G$41&amp;" / "&amp;Anmeldung!$J$41)&lt;&gt;Anmeldung!$O$35),Anmeldung!$B$41&amp;": "&amp;Anmeldung!$D$41&amp;", "&amp;Anmeldung!$E$41&amp;" / "&amp;Anmeldung!$G$41&amp;" / "&amp;Anmeldung!$J$41,"")</f>
        <v/>
      </c>
      <c r="EJ28" t="str">
        <f>IF(AND(34&lt;&gt;28,Anmeldung!$D$41&lt;&gt;"",Anmeldung!$G$41&lt;&gt;Anmeldung!$G$35,(Anmeldung!$B$41&amp;": "&amp;Anmeldung!$D$41&amp;", "&amp;Anmeldung!$E$41&amp;" / "&amp;Anmeldung!$G$41&amp;" / "&amp;Anmeldung!$J$41)&lt;&gt;Anmeldung!$S$35),Anmeldung!$B$41&amp;": "&amp;Anmeldung!$D$41&amp;", "&amp;Anmeldung!$E$41&amp;" / "&amp;Anmeldung!$G$41&amp;" / "&amp;Anmeldung!$J$41,"")</f>
        <v/>
      </c>
      <c r="EK28" t="str">
        <f>IF(AND(34&lt;&gt;28,Anmeldung!$D$41&lt;&gt;"",(Anmeldung!$B$41&amp;": "&amp;Anmeldung!$D$41&amp;", "&amp;Anmeldung!$E$41&amp;" / "&amp;Anmeldung!$G$41&amp;" / "&amp;Anmeldung!$J$41)&lt;&gt;Anmeldung!$R$35),Anmeldung!$B$41&amp;": "&amp;Anmeldung!$D$41&amp;", "&amp;Anmeldung!$E$41&amp;" / "&amp;Anmeldung!$G$41&amp;" / "&amp;Anmeldung!$J$41,"")</f>
        <v/>
      </c>
      <c r="EL28" t="str">
        <f>IF(AND(33&lt;&gt;27,Anmeldung!$D$41&lt;&gt;"",Anmeldung!$U$41="Ja",Anmeldung!$G$41=Anmeldung!$G$35,Anmeldung!$J$41=Anmeldung!$J$35),Anmeldung!$B$41&amp;": "&amp;Anmeldung!$D$41&amp;", "&amp;Anmeldung!$E$41&amp;" / "&amp;Anmeldung!$G$41&amp;" / "&amp;Anmeldung!$J$41,"")</f>
        <v/>
      </c>
      <c r="EO28" t="str">
        <f>IF(AND(34&lt;&gt;29,Anmeldung!$D$41&lt;&gt;"",Anmeldung!$G$41=Anmeldung!$G$36,Anmeldung!$J$41=Anmeldung!$J$36),Anmeldung!$B$41&amp;": "&amp;Anmeldung!$D$41&amp;", "&amp;Anmeldung!$E$41&amp;" / "&amp;Anmeldung!$G$41&amp;" / "&amp;Anmeldung!$J$41,"")</f>
        <v/>
      </c>
      <c r="EP28" t="str">
        <f>IF(AND(34&lt;&gt;29,Anmeldung!$D$41&lt;&gt;"",Anmeldung!$G$41=Anmeldung!$G$36,Anmeldung!$J$41=Anmeldung!$J$36,(Anmeldung!$B$41&amp;": "&amp;Anmeldung!$D$41&amp;", "&amp;Anmeldung!$E$41&amp;" / "&amp;Anmeldung!$G$41&amp;" / "&amp;Anmeldung!$J$41)&lt;&gt;Anmeldung!$P$36),Anmeldung!$B$41&amp;": "&amp;Anmeldung!$D$41&amp;", "&amp;Anmeldung!$E$41&amp;" / "&amp;Anmeldung!$G$41&amp;" / "&amp;Anmeldung!$J$41,"")</f>
        <v/>
      </c>
      <c r="EQ28" t="str">
        <f>IF(AND(34&lt;&gt;29,Anmeldung!$D$41&lt;&gt;"",Anmeldung!$G$41=Anmeldung!$G$36,Anmeldung!$J$41=Anmeldung!$J$36,(Anmeldung!$B$41&amp;": "&amp;Anmeldung!$D$41&amp;", "&amp;Anmeldung!$E$41&amp;" / "&amp;Anmeldung!$G$41&amp;" / "&amp;Anmeldung!$J$41)&lt;&gt;Anmeldung!$O$36),Anmeldung!$B$41&amp;": "&amp;Anmeldung!$D$41&amp;", "&amp;Anmeldung!$E$41&amp;" / "&amp;Anmeldung!$G$41&amp;" / "&amp;Anmeldung!$J$41,"")</f>
        <v/>
      </c>
      <c r="ER28" t="str">
        <f>IF(AND(34&lt;&gt;29,Anmeldung!$D$41&lt;&gt;"",Anmeldung!$G$41&lt;&gt;Anmeldung!$G$36,(Anmeldung!$B$41&amp;": "&amp;Anmeldung!$D$41&amp;", "&amp;Anmeldung!$E$41&amp;" / "&amp;Anmeldung!$G$41&amp;" / "&amp;Anmeldung!$J$41)&lt;&gt;Anmeldung!$S$36),Anmeldung!$B$41&amp;": "&amp;Anmeldung!$D$41&amp;", "&amp;Anmeldung!$E$41&amp;" / "&amp;Anmeldung!$G$41&amp;" / "&amp;Anmeldung!$J$41,"")</f>
        <v/>
      </c>
      <c r="ES28" t="str">
        <f>IF(AND(34&lt;&gt;29,Anmeldung!$D$41&lt;&gt;"",(Anmeldung!$B$41&amp;": "&amp;Anmeldung!$D$41&amp;", "&amp;Anmeldung!$E$41&amp;" / "&amp;Anmeldung!$G$41&amp;" / "&amp;Anmeldung!$J$41)&lt;&gt;Anmeldung!$R$36),Anmeldung!$B$41&amp;": "&amp;Anmeldung!$D$41&amp;", "&amp;Anmeldung!$E$41&amp;" / "&amp;Anmeldung!$G$41&amp;" / "&amp;Anmeldung!$J$41,"")</f>
        <v/>
      </c>
      <c r="ET28" t="str">
        <f>IF(AND(33&lt;&gt;28,Anmeldung!$D$41&lt;&gt;"",Anmeldung!$U$41="Ja",Anmeldung!$G$41=Anmeldung!$G$36,Anmeldung!$J$41=Anmeldung!$J$36),Anmeldung!$B$41&amp;": "&amp;Anmeldung!$D$41&amp;", "&amp;Anmeldung!$E$41&amp;" / "&amp;Anmeldung!$G$41&amp;" / "&amp;Anmeldung!$J$41,"")</f>
        <v/>
      </c>
      <c r="EW28" t="str">
        <f>IF(AND(34&lt;&gt;30,Anmeldung!$D$41&lt;&gt;"",Anmeldung!$G$41=Anmeldung!$G$37,Anmeldung!$J$41=Anmeldung!$J$37),Anmeldung!$B$41&amp;": "&amp;Anmeldung!$D$41&amp;", "&amp;Anmeldung!$E$41&amp;" / "&amp;Anmeldung!$G$41&amp;" / "&amp;Anmeldung!$J$41,"")</f>
        <v/>
      </c>
      <c r="EX28" t="str">
        <f>IF(AND(34&lt;&gt;30,Anmeldung!$D$41&lt;&gt;"",Anmeldung!$G$41=Anmeldung!$G$37,Anmeldung!$J$41=Anmeldung!$J$37,(Anmeldung!$B$41&amp;": "&amp;Anmeldung!$D$41&amp;", "&amp;Anmeldung!$E$41&amp;" / "&amp;Anmeldung!$G$41&amp;" / "&amp;Anmeldung!$J$41)&lt;&gt;Anmeldung!$P$37),Anmeldung!$B$41&amp;": "&amp;Anmeldung!$D$41&amp;", "&amp;Anmeldung!$E$41&amp;" / "&amp;Anmeldung!$G$41&amp;" / "&amp;Anmeldung!$J$41,"")</f>
        <v/>
      </c>
      <c r="EY28" t="str">
        <f>IF(AND(34&lt;&gt;30,Anmeldung!$D$41&lt;&gt;"",Anmeldung!$G$41=Anmeldung!$G$37,Anmeldung!$J$41=Anmeldung!$J$37,(Anmeldung!$B$41&amp;": "&amp;Anmeldung!$D$41&amp;", "&amp;Anmeldung!$E$41&amp;" / "&amp;Anmeldung!$G$41&amp;" / "&amp;Anmeldung!$J$41)&lt;&gt;Anmeldung!$O$37),Anmeldung!$B$41&amp;": "&amp;Anmeldung!$D$41&amp;", "&amp;Anmeldung!$E$41&amp;" / "&amp;Anmeldung!$G$41&amp;" / "&amp;Anmeldung!$J$41,"")</f>
        <v/>
      </c>
      <c r="EZ28" t="str">
        <f>IF(AND(34&lt;&gt;30,Anmeldung!$D$41&lt;&gt;"",Anmeldung!$G$41&lt;&gt;Anmeldung!$G$37,(Anmeldung!$B$41&amp;": "&amp;Anmeldung!$D$41&amp;", "&amp;Anmeldung!$E$41&amp;" / "&amp;Anmeldung!$G$41&amp;" / "&amp;Anmeldung!$J$41)&lt;&gt;Anmeldung!$S$37),Anmeldung!$B$41&amp;": "&amp;Anmeldung!$D$41&amp;", "&amp;Anmeldung!$E$41&amp;" / "&amp;Anmeldung!$G$41&amp;" / "&amp;Anmeldung!$J$41,"")</f>
        <v/>
      </c>
      <c r="FA28" t="str">
        <f>IF(AND(34&lt;&gt;30,Anmeldung!$D$41&lt;&gt;"",(Anmeldung!$B$41&amp;": "&amp;Anmeldung!$D$41&amp;", "&amp;Anmeldung!$E$41&amp;" / "&amp;Anmeldung!$G$41&amp;" / "&amp;Anmeldung!$J$41)&lt;&gt;Anmeldung!$R$37),Anmeldung!$B$41&amp;": "&amp;Anmeldung!$D$41&amp;", "&amp;Anmeldung!$E$41&amp;" / "&amp;Anmeldung!$G$41&amp;" / "&amp;Anmeldung!$J$41,"")</f>
        <v/>
      </c>
      <c r="FB28" t="str">
        <f>IF(AND(33&lt;&gt;29,Anmeldung!$D$41&lt;&gt;"",Anmeldung!$U$41="Ja",Anmeldung!$G$41=Anmeldung!$G$37,Anmeldung!$J$41=Anmeldung!$J$37),Anmeldung!$B$41&amp;": "&amp;Anmeldung!$D$41&amp;", "&amp;Anmeldung!$E$41&amp;" / "&amp;Anmeldung!$G$41&amp;" / "&amp;Anmeldung!$J$41,"")</f>
        <v/>
      </c>
      <c r="FE28" t="str">
        <f>IF(AND(34&lt;&gt;31,Anmeldung!$D$41&lt;&gt;"",Anmeldung!$G$41=Anmeldung!$G$38,Anmeldung!$J$41=Anmeldung!$J$38),Anmeldung!$B$41&amp;": "&amp;Anmeldung!$D$41&amp;", "&amp;Anmeldung!$E$41&amp;" / "&amp;Anmeldung!$G$41&amp;" / "&amp;Anmeldung!$J$41,"")</f>
        <v/>
      </c>
      <c r="FF28" t="str">
        <f>IF(AND(34&lt;&gt;31,Anmeldung!$D$41&lt;&gt;"",Anmeldung!$G$41=Anmeldung!$G$38,Anmeldung!$J$41=Anmeldung!$J$38,(Anmeldung!$B$41&amp;": "&amp;Anmeldung!$D$41&amp;", "&amp;Anmeldung!$E$41&amp;" / "&amp;Anmeldung!$G$41&amp;" / "&amp;Anmeldung!$J$41)&lt;&gt;Anmeldung!$P$38),Anmeldung!$B$41&amp;": "&amp;Anmeldung!$D$41&amp;", "&amp;Anmeldung!$E$41&amp;" / "&amp;Anmeldung!$G$41&amp;" / "&amp;Anmeldung!$J$41,"")</f>
        <v/>
      </c>
      <c r="FG28" t="str">
        <f>IF(AND(34&lt;&gt;31,Anmeldung!$D$41&lt;&gt;"",Anmeldung!$G$41=Anmeldung!$G$38,Anmeldung!$J$41=Anmeldung!$J$38,(Anmeldung!$B$41&amp;": "&amp;Anmeldung!$D$41&amp;", "&amp;Anmeldung!$E$41&amp;" / "&amp;Anmeldung!$G$41&amp;" / "&amp;Anmeldung!$J$41)&lt;&gt;Anmeldung!$O$38),Anmeldung!$B$41&amp;": "&amp;Anmeldung!$D$41&amp;", "&amp;Anmeldung!$E$41&amp;" / "&amp;Anmeldung!$G$41&amp;" / "&amp;Anmeldung!$J$41,"")</f>
        <v/>
      </c>
      <c r="FH28" t="str">
        <f>IF(AND(34&lt;&gt;31,Anmeldung!$D$41&lt;&gt;"",Anmeldung!$G$41&lt;&gt;Anmeldung!$G$38,(Anmeldung!$B$41&amp;": "&amp;Anmeldung!$D$41&amp;", "&amp;Anmeldung!$E$41&amp;" / "&amp;Anmeldung!$G$41&amp;" / "&amp;Anmeldung!$J$41)&lt;&gt;Anmeldung!$S$38),Anmeldung!$B$41&amp;": "&amp;Anmeldung!$D$41&amp;", "&amp;Anmeldung!$E$41&amp;" / "&amp;Anmeldung!$G$41&amp;" / "&amp;Anmeldung!$J$41,"")</f>
        <v/>
      </c>
      <c r="FI28" t="str">
        <f>IF(AND(34&lt;&gt;31,Anmeldung!$D$41&lt;&gt;"",(Anmeldung!$B$41&amp;": "&amp;Anmeldung!$D$41&amp;", "&amp;Anmeldung!$E$41&amp;" / "&amp;Anmeldung!$G$41&amp;" / "&amp;Anmeldung!$J$41)&lt;&gt;Anmeldung!$R$38),Anmeldung!$B$41&amp;": "&amp;Anmeldung!$D$41&amp;", "&amp;Anmeldung!$E$41&amp;" / "&amp;Anmeldung!$G$41&amp;" / "&amp;Anmeldung!$J$41,"")</f>
        <v/>
      </c>
      <c r="FJ28" t="str">
        <f>IF(AND(33&lt;&gt;30,Anmeldung!$D$41&lt;&gt;"",Anmeldung!$U$41="Ja",Anmeldung!$G$41=Anmeldung!$G$38,Anmeldung!$J$41=Anmeldung!$J$38),Anmeldung!$B$41&amp;": "&amp;Anmeldung!$D$41&amp;", "&amp;Anmeldung!$E$41&amp;" / "&amp;Anmeldung!$G$41&amp;" / "&amp;Anmeldung!$J$41,"")</f>
        <v/>
      </c>
      <c r="FM28" t="str">
        <f>IF(AND(34&lt;&gt;32,Anmeldung!$D$41&lt;&gt;"",Anmeldung!$G$41=Anmeldung!$G$39,Anmeldung!$J$41=Anmeldung!$J$39),Anmeldung!$B$41&amp;": "&amp;Anmeldung!$D$41&amp;", "&amp;Anmeldung!$E$41&amp;" / "&amp;Anmeldung!$G$41&amp;" / "&amp;Anmeldung!$J$41,"")</f>
        <v/>
      </c>
      <c r="FN28" t="str">
        <f>IF(AND(34&lt;&gt;32,Anmeldung!$D$41&lt;&gt;"",Anmeldung!$G$41=Anmeldung!$G$39,Anmeldung!$J$41=Anmeldung!$J$39,(Anmeldung!$B$41&amp;": "&amp;Anmeldung!$D$41&amp;", "&amp;Anmeldung!$E$41&amp;" / "&amp;Anmeldung!$G$41&amp;" / "&amp;Anmeldung!$J$41)&lt;&gt;Anmeldung!$P$39),Anmeldung!$B$41&amp;": "&amp;Anmeldung!$D$41&amp;", "&amp;Anmeldung!$E$41&amp;" / "&amp;Anmeldung!$G$41&amp;" / "&amp;Anmeldung!$J$41,"")</f>
        <v/>
      </c>
      <c r="FO28" t="str">
        <f>IF(AND(34&lt;&gt;32,Anmeldung!$D$41&lt;&gt;"",Anmeldung!$G$41=Anmeldung!$G$39,Anmeldung!$J$41=Anmeldung!$J$39,(Anmeldung!$B$41&amp;": "&amp;Anmeldung!$D$41&amp;", "&amp;Anmeldung!$E$41&amp;" / "&amp;Anmeldung!$G$41&amp;" / "&amp;Anmeldung!$J$41)&lt;&gt;Anmeldung!$O$39),Anmeldung!$B$41&amp;": "&amp;Anmeldung!$D$41&amp;", "&amp;Anmeldung!$E$41&amp;" / "&amp;Anmeldung!$G$41&amp;" / "&amp;Anmeldung!$J$41,"")</f>
        <v/>
      </c>
      <c r="FP28" t="str">
        <f>IF(AND(34&lt;&gt;32,Anmeldung!$D$41&lt;&gt;"",Anmeldung!$G$41&lt;&gt;Anmeldung!$G$39,(Anmeldung!$B$41&amp;": "&amp;Anmeldung!$D$41&amp;", "&amp;Anmeldung!$E$41&amp;" / "&amp;Anmeldung!$G$41&amp;" / "&amp;Anmeldung!$J$41)&lt;&gt;Anmeldung!$S$39),Anmeldung!$B$41&amp;": "&amp;Anmeldung!$D$41&amp;", "&amp;Anmeldung!$E$41&amp;" / "&amp;Anmeldung!$G$41&amp;" / "&amp;Anmeldung!$J$41,"")</f>
        <v/>
      </c>
      <c r="FQ28" t="str">
        <f>IF(AND(34&lt;&gt;32,Anmeldung!$D$41&lt;&gt;"",(Anmeldung!$B$41&amp;": "&amp;Anmeldung!$D$41&amp;", "&amp;Anmeldung!$E$41&amp;" / "&amp;Anmeldung!$G$41&amp;" / "&amp;Anmeldung!$J$41)&lt;&gt;Anmeldung!$R$39),Anmeldung!$B$41&amp;": "&amp;Anmeldung!$D$41&amp;", "&amp;Anmeldung!$E$41&amp;" / "&amp;Anmeldung!$G$41&amp;" / "&amp;Anmeldung!$J$41,"")</f>
        <v/>
      </c>
      <c r="FR28" t="str">
        <f>IF(AND(33&lt;&gt;31,Anmeldung!$D$41&lt;&gt;"",Anmeldung!$U$41="Ja",Anmeldung!$G$41=Anmeldung!$G$39,Anmeldung!$J$41=Anmeldung!$J$39),Anmeldung!$B$41&amp;": "&amp;Anmeldung!$D$41&amp;", "&amp;Anmeldung!$E$41&amp;" / "&amp;Anmeldung!$G$41&amp;" / "&amp;Anmeldung!$J$41,"")</f>
        <v/>
      </c>
      <c r="FU28" t="str">
        <f>IF(AND(34&lt;&gt;33,Anmeldung!$D$41&lt;&gt;"",Anmeldung!$G$41=Anmeldung!$G$40,Anmeldung!$J$41=Anmeldung!$J$40),Anmeldung!$B$41&amp;": "&amp;Anmeldung!$D$41&amp;", "&amp;Anmeldung!$E$41&amp;" / "&amp;Anmeldung!$G$41&amp;" / "&amp;Anmeldung!$J$41,"")</f>
        <v/>
      </c>
      <c r="FV28" t="str">
        <f>IF(AND(34&lt;&gt;33,Anmeldung!$D$41&lt;&gt;"",Anmeldung!$G$41=Anmeldung!$G$40,Anmeldung!$J$41=Anmeldung!$J$40,(Anmeldung!$B$41&amp;": "&amp;Anmeldung!$D$41&amp;", "&amp;Anmeldung!$E$41&amp;" / "&amp;Anmeldung!$G$41&amp;" / "&amp;Anmeldung!$J$41)&lt;&gt;Anmeldung!$P$40),Anmeldung!$B$41&amp;": "&amp;Anmeldung!$D$41&amp;", "&amp;Anmeldung!$E$41&amp;" / "&amp;Anmeldung!$G$41&amp;" / "&amp;Anmeldung!$J$41,"")</f>
        <v/>
      </c>
      <c r="FW28" t="str">
        <f>IF(AND(34&lt;&gt;33,Anmeldung!$D$41&lt;&gt;"",Anmeldung!$G$41=Anmeldung!$G$40,Anmeldung!$J$41=Anmeldung!$J$40,(Anmeldung!$B$41&amp;": "&amp;Anmeldung!$D$41&amp;", "&amp;Anmeldung!$E$41&amp;" / "&amp;Anmeldung!$G$41&amp;" / "&amp;Anmeldung!$J$41)&lt;&gt;Anmeldung!$O$40),Anmeldung!$B$41&amp;": "&amp;Anmeldung!$D$41&amp;", "&amp;Anmeldung!$E$41&amp;" / "&amp;Anmeldung!$G$41&amp;" / "&amp;Anmeldung!$J$41,"")</f>
        <v/>
      </c>
      <c r="FX28" t="str">
        <f>IF(AND(34&lt;&gt;33,Anmeldung!$D$41&lt;&gt;"",Anmeldung!$G$41&lt;&gt;Anmeldung!$G$40,(Anmeldung!$B$41&amp;": "&amp;Anmeldung!$D$41&amp;", "&amp;Anmeldung!$E$41&amp;" / "&amp;Anmeldung!$G$41&amp;" / "&amp;Anmeldung!$J$41)&lt;&gt;Anmeldung!$S$40),Anmeldung!$B$41&amp;": "&amp;Anmeldung!$D$41&amp;", "&amp;Anmeldung!$E$41&amp;" / "&amp;Anmeldung!$G$41&amp;" / "&amp;Anmeldung!$J$41,"")</f>
        <v/>
      </c>
      <c r="FY28" t="str">
        <f>IF(AND(34&lt;&gt;33,Anmeldung!$D$41&lt;&gt;"",(Anmeldung!$B$41&amp;": "&amp;Anmeldung!$D$41&amp;", "&amp;Anmeldung!$E$41&amp;" / "&amp;Anmeldung!$G$41&amp;" / "&amp;Anmeldung!$J$41)&lt;&gt;Anmeldung!$R$40),Anmeldung!$B$41&amp;": "&amp;Anmeldung!$D$41&amp;", "&amp;Anmeldung!$E$41&amp;" / "&amp;Anmeldung!$G$41&amp;" / "&amp;Anmeldung!$J$41,"")</f>
        <v/>
      </c>
      <c r="FZ28" t="str">
        <f>IF(AND(33&lt;&gt;32,Anmeldung!$D$41&lt;&gt;"",Anmeldung!$U$41="Ja",Anmeldung!$G$41=Anmeldung!$G$40,Anmeldung!$J$41=Anmeldung!$J$40),Anmeldung!$B$41&amp;": "&amp;Anmeldung!$D$41&amp;", "&amp;Anmeldung!$E$41&amp;" / "&amp;Anmeldung!$G$41&amp;" / "&amp;Anmeldung!$J$41,"")</f>
        <v/>
      </c>
      <c r="GC28" t="str">
        <f>IF(AND(34&lt;&gt;34,Anmeldung!$D$41&lt;&gt;"",Anmeldung!$G$41=Anmeldung!$G$41,Anmeldung!$J$41=Anmeldung!$J$41),Anmeldung!$B$41&amp;": "&amp;Anmeldung!$D$41&amp;", "&amp;Anmeldung!$E$41&amp;" / "&amp;Anmeldung!$G$41&amp;" / "&amp;Anmeldung!$J$41,"")</f>
        <v/>
      </c>
      <c r="GD28" t="str">
        <f>IF(AND(34&lt;&gt;34,Anmeldung!$D$41&lt;&gt;"",Anmeldung!$G$41=Anmeldung!$G$41,Anmeldung!$J$41=Anmeldung!$J$41,(Anmeldung!$B$41&amp;": "&amp;Anmeldung!$D$41&amp;", "&amp;Anmeldung!$E$41&amp;" / "&amp;Anmeldung!$G$41&amp;" / "&amp;Anmeldung!$J$41)&lt;&gt;Anmeldung!$P$41),Anmeldung!$B$41&amp;": "&amp;Anmeldung!$D$41&amp;", "&amp;Anmeldung!$E$41&amp;" / "&amp;Anmeldung!$G$41&amp;" / "&amp;Anmeldung!$J$41,"")</f>
        <v/>
      </c>
      <c r="GE28" t="str">
        <f>IF(AND(34&lt;&gt;34,Anmeldung!$D$41&lt;&gt;"",Anmeldung!$G$41=Anmeldung!$G$41,Anmeldung!$J$41=Anmeldung!$J$41,(Anmeldung!$B$41&amp;": "&amp;Anmeldung!$D$41&amp;", "&amp;Anmeldung!$E$41&amp;" / "&amp;Anmeldung!$G$41&amp;" / "&amp;Anmeldung!$J$41)&lt;&gt;Anmeldung!$O$41),Anmeldung!$B$41&amp;": "&amp;Anmeldung!$D$41&amp;", "&amp;Anmeldung!$E$41&amp;" / "&amp;Anmeldung!$G$41&amp;" / "&amp;Anmeldung!$J$41,"")</f>
        <v/>
      </c>
      <c r="GF28" t="str">
        <f>IF(AND(34&lt;&gt;34,Anmeldung!$D$41&lt;&gt;"",Anmeldung!$G$41&lt;&gt;Anmeldung!$G$41,(Anmeldung!$B$41&amp;": "&amp;Anmeldung!$D$41&amp;", "&amp;Anmeldung!$E$41&amp;" / "&amp;Anmeldung!$G$41&amp;" / "&amp;Anmeldung!$J$41)&lt;&gt;Anmeldung!$S$41),Anmeldung!$B$41&amp;": "&amp;Anmeldung!$D$41&amp;", "&amp;Anmeldung!$E$41&amp;" / "&amp;Anmeldung!$G$41&amp;" / "&amp;Anmeldung!$J$41,"")</f>
        <v/>
      </c>
      <c r="GG28" t="str">
        <f>IF(AND(34&lt;&gt;34,Anmeldung!$D$41&lt;&gt;"",(Anmeldung!$B$41&amp;": "&amp;Anmeldung!$D$41&amp;", "&amp;Anmeldung!$E$41&amp;" / "&amp;Anmeldung!$G$41&amp;" / "&amp;Anmeldung!$J$41)&lt;&gt;Anmeldung!$R$41),Anmeldung!$B$41&amp;": "&amp;Anmeldung!$D$41&amp;", "&amp;Anmeldung!$E$41&amp;" / "&amp;Anmeldung!$G$41&amp;" / "&amp;Anmeldung!$J$41,"")</f>
        <v/>
      </c>
      <c r="GH28" t="str">
        <f>IF(AND(33&lt;&gt;33,Anmeldung!$D$41&lt;&gt;"",Anmeldung!$U$41="Ja",Anmeldung!$G$41=Anmeldung!$G$41,Anmeldung!$J$41=Anmeldung!$J$41),Anmeldung!$B$41&amp;": "&amp;Anmeldung!$D$41&amp;", "&amp;Anmeldung!$E$41&amp;" / "&amp;Anmeldung!$G$41&amp;" / "&amp;Anmeldung!$J$41,"")</f>
        <v/>
      </c>
      <c r="GK28" t="str">
        <f>IF(AND(34&lt;&gt;35,Anmeldung!$D$41&lt;&gt;"",Anmeldung!$G$41=Anmeldung!$G$42,Anmeldung!$J$41=Anmeldung!$J$42),Anmeldung!$B$41&amp;": "&amp;Anmeldung!$D$41&amp;", "&amp;Anmeldung!$E$41&amp;" / "&amp;Anmeldung!$G$41&amp;" / "&amp;Anmeldung!$J$41,"")</f>
        <v/>
      </c>
      <c r="GL28" t="str">
        <f>IF(AND(34&lt;&gt;35,Anmeldung!$D$41&lt;&gt;"",Anmeldung!$G$41=Anmeldung!$G$42,Anmeldung!$J$41=Anmeldung!$J$42,(Anmeldung!$B$41&amp;": "&amp;Anmeldung!$D$41&amp;", "&amp;Anmeldung!$E$41&amp;" / "&amp;Anmeldung!$G$41&amp;" / "&amp;Anmeldung!$J$41)&lt;&gt;Anmeldung!$P$42),Anmeldung!$B$41&amp;": "&amp;Anmeldung!$D$41&amp;", "&amp;Anmeldung!$E$41&amp;" / "&amp;Anmeldung!$G$41&amp;" / "&amp;Anmeldung!$J$41,"")</f>
        <v/>
      </c>
      <c r="GM28" t="str">
        <f>IF(AND(34&lt;&gt;35,Anmeldung!$D$41&lt;&gt;"",Anmeldung!$G$41=Anmeldung!$G$42,Anmeldung!$J$41=Anmeldung!$J$42,(Anmeldung!$B$41&amp;": "&amp;Anmeldung!$D$41&amp;", "&amp;Anmeldung!$E$41&amp;" / "&amp;Anmeldung!$G$41&amp;" / "&amp;Anmeldung!$J$41)&lt;&gt;Anmeldung!$O$42),Anmeldung!$B$41&amp;": "&amp;Anmeldung!$D$41&amp;", "&amp;Anmeldung!$E$41&amp;" / "&amp;Anmeldung!$G$41&amp;" / "&amp;Anmeldung!$J$41,"")</f>
        <v/>
      </c>
      <c r="GN28" t="str">
        <f>IF(AND(34&lt;&gt;35,Anmeldung!$D$41&lt;&gt;"",Anmeldung!$G$41&lt;&gt;Anmeldung!$G$42,(Anmeldung!$B$41&amp;": "&amp;Anmeldung!$D$41&amp;", "&amp;Anmeldung!$E$41&amp;" / "&amp;Anmeldung!$G$41&amp;" / "&amp;Anmeldung!$J$41)&lt;&gt;Anmeldung!$S$42),Anmeldung!$B$41&amp;": "&amp;Anmeldung!$D$41&amp;", "&amp;Anmeldung!$E$41&amp;" / "&amp;Anmeldung!$G$41&amp;" / "&amp;Anmeldung!$J$41,"")</f>
        <v/>
      </c>
      <c r="GO28" t="str">
        <f>IF(AND(34&lt;&gt;35,Anmeldung!$D$41&lt;&gt;"",(Anmeldung!$B$41&amp;": "&amp;Anmeldung!$D$41&amp;", "&amp;Anmeldung!$E$41&amp;" / "&amp;Anmeldung!$G$41&amp;" / "&amp;Anmeldung!$J$41)&lt;&gt;Anmeldung!$R$42),Anmeldung!$B$41&amp;": "&amp;Anmeldung!$D$41&amp;", "&amp;Anmeldung!$E$41&amp;" / "&amp;Anmeldung!$G$41&amp;" / "&amp;Anmeldung!$J$41,"")</f>
        <v/>
      </c>
      <c r="GP28" t="str">
        <f>IF(AND(33&lt;&gt;34,Anmeldung!$D$41&lt;&gt;"",Anmeldung!$U$41="Ja",Anmeldung!$G$41=Anmeldung!$G$42,Anmeldung!$J$41=Anmeldung!$J$42),Anmeldung!$B$41&amp;": "&amp;Anmeldung!$D$41&amp;", "&amp;Anmeldung!$E$41&amp;" / "&amp;Anmeldung!$G$41&amp;" / "&amp;Anmeldung!$J$41,"")</f>
        <v/>
      </c>
      <c r="GS28" t="str">
        <f>IF(AND(34&lt;&gt;36,Anmeldung!$D$41&lt;&gt;"",Anmeldung!$G$41=Anmeldung!$G$43,Anmeldung!$J$41=Anmeldung!$J$43),Anmeldung!$B$41&amp;": "&amp;Anmeldung!$D$41&amp;", "&amp;Anmeldung!$E$41&amp;" / "&amp;Anmeldung!$G$41&amp;" / "&amp;Anmeldung!$J$41,"")</f>
        <v/>
      </c>
      <c r="GT28" t="str">
        <f>IF(AND(34&lt;&gt;36,Anmeldung!$D$41&lt;&gt;"",Anmeldung!$G$41=Anmeldung!$G$43,Anmeldung!$J$41=Anmeldung!$J$43,(Anmeldung!$B$41&amp;": "&amp;Anmeldung!$D$41&amp;", "&amp;Anmeldung!$E$41&amp;" / "&amp;Anmeldung!$G$41&amp;" / "&amp;Anmeldung!$J$41)&lt;&gt;Anmeldung!$P$43),Anmeldung!$B$41&amp;": "&amp;Anmeldung!$D$41&amp;", "&amp;Anmeldung!$E$41&amp;" / "&amp;Anmeldung!$G$41&amp;" / "&amp;Anmeldung!$J$41,"")</f>
        <v/>
      </c>
      <c r="GU28" t="str">
        <f>IF(AND(34&lt;&gt;36,Anmeldung!$D$41&lt;&gt;"",Anmeldung!$G$41=Anmeldung!$G$43,Anmeldung!$J$41=Anmeldung!$J$43,(Anmeldung!$B$41&amp;": "&amp;Anmeldung!$D$41&amp;", "&amp;Anmeldung!$E$41&amp;" / "&amp;Anmeldung!$G$41&amp;" / "&amp;Anmeldung!$J$41)&lt;&gt;Anmeldung!$O$43),Anmeldung!$B$41&amp;": "&amp;Anmeldung!$D$41&amp;", "&amp;Anmeldung!$E$41&amp;" / "&amp;Anmeldung!$G$41&amp;" / "&amp;Anmeldung!$J$41,"")</f>
        <v/>
      </c>
      <c r="GV28" t="str">
        <f>IF(AND(34&lt;&gt;36,Anmeldung!$D$41&lt;&gt;"",Anmeldung!$G$41&lt;&gt;Anmeldung!$G$43,(Anmeldung!$B$41&amp;": "&amp;Anmeldung!$D$41&amp;", "&amp;Anmeldung!$E$41&amp;" / "&amp;Anmeldung!$G$41&amp;" / "&amp;Anmeldung!$J$41)&lt;&gt;Anmeldung!$S$43),Anmeldung!$B$41&amp;": "&amp;Anmeldung!$D$41&amp;", "&amp;Anmeldung!$E$41&amp;" / "&amp;Anmeldung!$G$41&amp;" / "&amp;Anmeldung!$J$41,"")</f>
        <v/>
      </c>
      <c r="GW28" t="str">
        <f>IF(AND(34&lt;&gt;36,Anmeldung!$D$41&lt;&gt;"",(Anmeldung!$B$41&amp;": "&amp;Anmeldung!$D$41&amp;", "&amp;Anmeldung!$E$41&amp;" / "&amp;Anmeldung!$G$41&amp;" / "&amp;Anmeldung!$J$41)&lt;&gt;Anmeldung!$R$43),Anmeldung!$B$41&amp;": "&amp;Anmeldung!$D$41&amp;", "&amp;Anmeldung!$E$41&amp;" / "&amp;Anmeldung!$G$41&amp;" / "&amp;Anmeldung!$J$41,"")</f>
        <v/>
      </c>
      <c r="GX28" t="str">
        <f>IF(AND(33&lt;&gt;35,Anmeldung!$D$41&lt;&gt;"",Anmeldung!$U$41="Ja",Anmeldung!$G$41=Anmeldung!$G$43,Anmeldung!$J$41=Anmeldung!$J$43),Anmeldung!$B$41&amp;": "&amp;Anmeldung!$D$41&amp;", "&amp;Anmeldung!$E$41&amp;" / "&amp;Anmeldung!$G$41&amp;" / "&amp;Anmeldung!$J$41,"")</f>
        <v/>
      </c>
      <c r="HA28" t="str">
        <f>IF(AND(34&lt;&gt;37,Anmeldung!$D$41&lt;&gt;"",Anmeldung!$G$41=Anmeldung!$G$44,Anmeldung!$J$41=Anmeldung!$J$44),Anmeldung!$B$41&amp;": "&amp;Anmeldung!$D$41&amp;", "&amp;Anmeldung!$E$41&amp;" / "&amp;Anmeldung!$G$41&amp;" / "&amp;Anmeldung!$J$41,"")</f>
        <v/>
      </c>
      <c r="HB28" t="str">
        <f>IF(AND(34&lt;&gt;37,Anmeldung!$D$41&lt;&gt;"",Anmeldung!$G$41=Anmeldung!$G$44,Anmeldung!$J$41=Anmeldung!$J$44,(Anmeldung!$B$41&amp;": "&amp;Anmeldung!$D$41&amp;", "&amp;Anmeldung!$E$41&amp;" / "&amp;Anmeldung!$G$41&amp;" / "&amp;Anmeldung!$J$41)&lt;&gt;Anmeldung!$P$44),Anmeldung!$B$41&amp;": "&amp;Anmeldung!$D$41&amp;", "&amp;Anmeldung!$E$41&amp;" / "&amp;Anmeldung!$G$41&amp;" / "&amp;Anmeldung!$J$41,"")</f>
        <v/>
      </c>
      <c r="HC28" t="str">
        <f>IF(AND(34&lt;&gt;37,Anmeldung!$D$41&lt;&gt;"",Anmeldung!$G$41=Anmeldung!$G$44,Anmeldung!$J$41=Anmeldung!$J$44,(Anmeldung!$B$41&amp;": "&amp;Anmeldung!$D$41&amp;", "&amp;Anmeldung!$E$41&amp;" / "&amp;Anmeldung!$G$41&amp;" / "&amp;Anmeldung!$J$41)&lt;&gt;Anmeldung!$O$44),Anmeldung!$B$41&amp;": "&amp;Anmeldung!$D$41&amp;", "&amp;Anmeldung!$E$41&amp;" / "&amp;Anmeldung!$G$41&amp;" / "&amp;Anmeldung!$J$41,"")</f>
        <v/>
      </c>
      <c r="HD28" t="str">
        <f>IF(AND(34&lt;&gt;37,Anmeldung!$D$41&lt;&gt;"",Anmeldung!$G$41&lt;&gt;Anmeldung!$G$44,(Anmeldung!$B$41&amp;": "&amp;Anmeldung!$D$41&amp;", "&amp;Anmeldung!$E$41&amp;" / "&amp;Anmeldung!$G$41&amp;" / "&amp;Anmeldung!$J$41)&lt;&gt;Anmeldung!$S$44),Anmeldung!$B$41&amp;": "&amp;Anmeldung!$D$41&amp;", "&amp;Anmeldung!$E$41&amp;" / "&amp;Anmeldung!$G$41&amp;" / "&amp;Anmeldung!$J$41,"")</f>
        <v/>
      </c>
      <c r="HE28" t="str">
        <f>IF(AND(34&lt;&gt;37,Anmeldung!$D$41&lt;&gt;"",(Anmeldung!$B$41&amp;": "&amp;Anmeldung!$D$41&amp;", "&amp;Anmeldung!$E$41&amp;" / "&amp;Anmeldung!$G$41&amp;" / "&amp;Anmeldung!$J$41)&lt;&gt;Anmeldung!$R$44),Anmeldung!$B$41&amp;": "&amp;Anmeldung!$D$41&amp;", "&amp;Anmeldung!$E$41&amp;" / "&amp;Anmeldung!$G$41&amp;" / "&amp;Anmeldung!$J$41,"")</f>
        <v/>
      </c>
      <c r="HF28" t="str">
        <f>IF(AND(33&lt;&gt;36,Anmeldung!$D$41&lt;&gt;"",Anmeldung!$U$41="Ja",Anmeldung!$G$41=Anmeldung!$G$44,Anmeldung!$J$41=Anmeldung!$J$44),Anmeldung!$B$41&amp;": "&amp;Anmeldung!$D$41&amp;", "&amp;Anmeldung!$E$41&amp;" / "&amp;Anmeldung!$G$41&amp;" / "&amp;Anmeldung!$J$41,"")</f>
        <v/>
      </c>
      <c r="HI28" t="str">
        <f>IF(AND(34&lt;&gt;38,Anmeldung!$D$41&lt;&gt;"",Anmeldung!$G$41=Anmeldung!$G$45,Anmeldung!$J$41=Anmeldung!$J$45),Anmeldung!$B$41&amp;": "&amp;Anmeldung!$D$41&amp;", "&amp;Anmeldung!$E$41&amp;" / "&amp;Anmeldung!$G$41&amp;" / "&amp;Anmeldung!$J$41,"")</f>
        <v/>
      </c>
      <c r="HJ28" t="str">
        <f>IF(AND(34&lt;&gt;38,Anmeldung!$D$41&lt;&gt;"",Anmeldung!$G$41=Anmeldung!$G$45,Anmeldung!$J$41=Anmeldung!$J$45,(Anmeldung!$B$41&amp;": "&amp;Anmeldung!$D$41&amp;", "&amp;Anmeldung!$E$41&amp;" / "&amp;Anmeldung!$G$41&amp;" / "&amp;Anmeldung!$J$41)&lt;&gt;Anmeldung!$P$45),Anmeldung!$B$41&amp;": "&amp;Anmeldung!$D$41&amp;", "&amp;Anmeldung!$E$41&amp;" / "&amp;Anmeldung!$G$41&amp;" / "&amp;Anmeldung!$J$41,"")</f>
        <v/>
      </c>
      <c r="HK28" t="str">
        <f>IF(AND(34&lt;&gt;38,Anmeldung!$D$41&lt;&gt;"",Anmeldung!$G$41=Anmeldung!$G$45,Anmeldung!$J$41=Anmeldung!$J$45,(Anmeldung!$B$41&amp;": "&amp;Anmeldung!$D$41&amp;", "&amp;Anmeldung!$E$41&amp;" / "&amp;Anmeldung!$G$41&amp;" / "&amp;Anmeldung!$J$41)&lt;&gt;Anmeldung!$O$45),Anmeldung!$B$41&amp;": "&amp;Anmeldung!$D$41&amp;", "&amp;Anmeldung!$E$41&amp;" / "&amp;Anmeldung!$G$41&amp;" / "&amp;Anmeldung!$J$41,"")</f>
        <v/>
      </c>
      <c r="HL28" t="str">
        <f>IF(AND(34&lt;&gt;38,Anmeldung!$D$41&lt;&gt;"",Anmeldung!$G$41&lt;&gt;Anmeldung!$G$45,(Anmeldung!$B$41&amp;": "&amp;Anmeldung!$D$41&amp;", "&amp;Anmeldung!$E$41&amp;" / "&amp;Anmeldung!$G$41&amp;" / "&amp;Anmeldung!$J$41)&lt;&gt;Anmeldung!$S$45),Anmeldung!$B$41&amp;": "&amp;Anmeldung!$D$41&amp;", "&amp;Anmeldung!$E$41&amp;" / "&amp;Anmeldung!$G$41&amp;" / "&amp;Anmeldung!$J$41,"")</f>
        <v/>
      </c>
      <c r="HM28" t="str">
        <f>IF(AND(34&lt;&gt;38,Anmeldung!$D$41&lt;&gt;"",(Anmeldung!$B$41&amp;": "&amp;Anmeldung!$D$41&amp;", "&amp;Anmeldung!$E$41&amp;" / "&amp;Anmeldung!$G$41&amp;" / "&amp;Anmeldung!$J$41)&lt;&gt;Anmeldung!$R$45),Anmeldung!$B$41&amp;": "&amp;Anmeldung!$D$41&amp;", "&amp;Anmeldung!$E$41&amp;" / "&amp;Anmeldung!$G$41&amp;" / "&amp;Anmeldung!$J$41,"")</f>
        <v/>
      </c>
      <c r="HN28" t="str">
        <f>IF(AND(33&lt;&gt;37,Anmeldung!$D$41&lt;&gt;"",Anmeldung!$U$41="Ja",Anmeldung!$G$41=Anmeldung!$G$45,Anmeldung!$J$41=Anmeldung!$J$45),Anmeldung!$B$41&amp;": "&amp;Anmeldung!$D$41&amp;", "&amp;Anmeldung!$E$41&amp;" / "&amp;Anmeldung!$G$41&amp;" / "&amp;Anmeldung!$J$41,"")</f>
        <v/>
      </c>
      <c r="HQ28" t="str">
        <f>IF(AND(34&lt;&gt;39,Anmeldung!$D$41&lt;&gt;"",Anmeldung!$G$41=Anmeldung!$G$46,Anmeldung!$J$41=Anmeldung!$J$46),Anmeldung!$B$41&amp;": "&amp;Anmeldung!$D$41&amp;", "&amp;Anmeldung!$E$41&amp;" / "&amp;Anmeldung!$G$41&amp;" / "&amp;Anmeldung!$J$41,"")</f>
        <v/>
      </c>
      <c r="HR28" t="str">
        <f>IF(AND(34&lt;&gt;39,Anmeldung!$D$41&lt;&gt;"",Anmeldung!$G$41=Anmeldung!$G$46,Anmeldung!$J$41=Anmeldung!$J$46,(Anmeldung!$B$41&amp;": "&amp;Anmeldung!$D$41&amp;", "&amp;Anmeldung!$E$41&amp;" / "&amp;Anmeldung!$G$41&amp;" / "&amp;Anmeldung!$J$41)&lt;&gt;Anmeldung!$P$46),Anmeldung!$B$41&amp;": "&amp;Anmeldung!$D$41&amp;", "&amp;Anmeldung!$E$41&amp;" / "&amp;Anmeldung!$G$41&amp;" / "&amp;Anmeldung!$J$41,"")</f>
        <v/>
      </c>
      <c r="HS28" t="str">
        <f>IF(AND(34&lt;&gt;39,Anmeldung!$D$41&lt;&gt;"",Anmeldung!$G$41=Anmeldung!$G$46,Anmeldung!$J$41=Anmeldung!$J$46,(Anmeldung!$B$41&amp;": "&amp;Anmeldung!$D$41&amp;", "&amp;Anmeldung!$E$41&amp;" / "&amp;Anmeldung!$G$41&amp;" / "&amp;Anmeldung!$J$41)&lt;&gt;Anmeldung!$O$46),Anmeldung!$B$41&amp;": "&amp;Anmeldung!$D$41&amp;", "&amp;Anmeldung!$E$41&amp;" / "&amp;Anmeldung!$G$41&amp;" / "&amp;Anmeldung!$J$41,"")</f>
        <v/>
      </c>
      <c r="HT28" t="str">
        <f>IF(AND(34&lt;&gt;39,Anmeldung!$D$41&lt;&gt;"",Anmeldung!$G$41&lt;&gt;Anmeldung!$G$46,(Anmeldung!$B$41&amp;": "&amp;Anmeldung!$D$41&amp;", "&amp;Anmeldung!$E$41&amp;" / "&amp;Anmeldung!$G$41&amp;" / "&amp;Anmeldung!$J$41)&lt;&gt;Anmeldung!$S$46),Anmeldung!$B$41&amp;": "&amp;Anmeldung!$D$41&amp;", "&amp;Anmeldung!$E$41&amp;" / "&amp;Anmeldung!$G$41&amp;" / "&amp;Anmeldung!$J$41,"")</f>
        <v/>
      </c>
      <c r="HU28" t="str">
        <f>IF(AND(34&lt;&gt;39,Anmeldung!$D$41&lt;&gt;"",(Anmeldung!$B$41&amp;": "&amp;Anmeldung!$D$41&amp;", "&amp;Anmeldung!$E$41&amp;" / "&amp;Anmeldung!$G$41&amp;" / "&amp;Anmeldung!$J$41)&lt;&gt;Anmeldung!$R$46),Anmeldung!$B$41&amp;": "&amp;Anmeldung!$D$41&amp;", "&amp;Anmeldung!$E$41&amp;" / "&amp;Anmeldung!$G$41&amp;" / "&amp;Anmeldung!$J$41,"")</f>
        <v/>
      </c>
      <c r="HV28" t="str">
        <f>IF(AND(33&lt;&gt;38,Anmeldung!$D$41&lt;&gt;"",Anmeldung!$U$41="Ja",Anmeldung!$G$41=Anmeldung!$G$46,Anmeldung!$J$41=Anmeldung!$J$46),Anmeldung!$B$41&amp;": "&amp;Anmeldung!$D$41&amp;", "&amp;Anmeldung!$E$41&amp;" / "&amp;Anmeldung!$G$41&amp;" / "&amp;Anmeldung!$J$41,"")</f>
        <v/>
      </c>
      <c r="HY28" t="str">
        <f>IF(AND(34&lt;&gt;40,Anmeldung!$D$41&lt;&gt;"",Anmeldung!$G$41=Anmeldung!$G$47,Anmeldung!$J$41=Anmeldung!$J$47),Anmeldung!$B$41&amp;": "&amp;Anmeldung!$D$41&amp;", "&amp;Anmeldung!$E$41&amp;" / "&amp;Anmeldung!$G$41&amp;" / "&amp;Anmeldung!$J$41,"")</f>
        <v/>
      </c>
      <c r="HZ28" t="str">
        <f>IF(AND(34&lt;&gt;40,Anmeldung!$D$41&lt;&gt;"",Anmeldung!$G$41=Anmeldung!$G$47,Anmeldung!$J$41=Anmeldung!$J$47,(Anmeldung!$B$41&amp;": "&amp;Anmeldung!$D$41&amp;", "&amp;Anmeldung!$E$41&amp;" / "&amp;Anmeldung!$G$41&amp;" / "&amp;Anmeldung!$J$41)&lt;&gt;Anmeldung!$P$47),Anmeldung!$B$41&amp;": "&amp;Anmeldung!$D$41&amp;", "&amp;Anmeldung!$E$41&amp;" / "&amp;Anmeldung!$G$41&amp;" / "&amp;Anmeldung!$J$41,"")</f>
        <v/>
      </c>
      <c r="IA28" t="str">
        <f>IF(AND(34&lt;&gt;40,Anmeldung!$D$41&lt;&gt;"",Anmeldung!$G$41=Anmeldung!$G$47,Anmeldung!$J$41=Anmeldung!$J$47,(Anmeldung!$B$41&amp;": "&amp;Anmeldung!$D$41&amp;", "&amp;Anmeldung!$E$41&amp;" / "&amp;Anmeldung!$G$41&amp;" / "&amp;Anmeldung!$J$41)&lt;&gt;Anmeldung!$O$47),Anmeldung!$B$41&amp;": "&amp;Anmeldung!$D$41&amp;", "&amp;Anmeldung!$E$41&amp;" / "&amp;Anmeldung!$G$41&amp;" / "&amp;Anmeldung!$J$41,"")</f>
        <v/>
      </c>
      <c r="IB28" t="str">
        <f>IF(AND(34&lt;&gt;40,Anmeldung!$D$41&lt;&gt;"",Anmeldung!$G$41&lt;&gt;Anmeldung!$G$47,(Anmeldung!$B$41&amp;": "&amp;Anmeldung!$D$41&amp;", "&amp;Anmeldung!$E$41&amp;" / "&amp;Anmeldung!$G$41&amp;" / "&amp;Anmeldung!$J$41)&lt;&gt;Anmeldung!$S$47),Anmeldung!$B$41&amp;": "&amp;Anmeldung!$D$41&amp;", "&amp;Anmeldung!$E$41&amp;" / "&amp;Anmeldung!$G$41&amp;" / "&amp;Anmeldung!$J$41,"")</f>
        <v/>
      </c>
      <c r="IC28" t="str">
        <f>IF(AND(34&lt;&gt;40,Anmeldung!$D$41&lt;&gt;"",(Anmeldung!$B$41&amp;": "&amp;Anmeldung!$D$41&amp;", "&amp;Anmeldung!$E$41&amp;" / "&amp;Anmeldung!$G$41&amp;" / "&amp;Anmeldung!$J$41)&lt;&gt;Anmeldung!$R$47),Anmeldung!$B$41&amp;": "&amp;Anmeldung!$D$41&amp;", "&amp;Anmeldung!$E$41&amp;" / "&amp;Anmeldung!$G$41&amp;" / "&amp;Anmeldung!$J$41,"")</f>
        <v/>
      </c>
      <c r="ID28" t="str">
        <f>IF(AND(33&lt;&gt;39,Anmeldung!$D$41&lt;&gt;"",Anmeldung!$U$41="Ja",Anmeldung!$G$41=Anmeldung!$G$47,Anmeldung!$J$41=Anmeldung!$J$47),Anmeldung!$B$41&amp;": "&amp;Anmeldung!$D$41&amp;", "&amp;Anmeldung!$E$41&amp;" / "&amp;Anmeldung!$G$41&amp;" / "&amp;Anmeldung!$J$41,"")</f>
        <v/>
      </c>
    </row>
    <row r="29" spans="1:238" ht="14.25" customHeight="1" x14ac:dyDescent="0.3">
      <c r="A29" t="str">
        <f>IF(AND(35&lt;&gt;11,Anmeldung!$D$42&lt;&gt;"",Anmeldung!$G$42=Anmeldung!$G$18,Anmeldung!$J$42=Anmeldung!$J$18),Anmeldung!$B$42&amp;": "&amp;Anmeldung!$D$42&amp;", "&amp;Anmeldung!$E$42&amp;" / "&amp;Anmeldung!$G$42&amp;" / "&amp;Anmeldung!$J$42,"")</f>
        <v/>
      </c>
      <c r="B29" t="str">
        <f>IF(AND(35&lt;&gt;11,Anmeldung!$D$42&lt;&gt;"",Anmeldung!$G$42=Anmeldung!$G$18,Anmeldung!$J$42=Anmeldung!$J$18,(Anmeldung!$B$42&amp;": "&amp;Anmeldung!$D$42&amp;", "&amp;Anmeldung!$E$42&amp;" / "&amp;Anmeldung!$G$42&amp;" / "&amp;Anmeldung!$J$42)&lt;&gt;Anmeldung!$P$18),Anmeldung!$B$42&amp;": "&amp;Anmeldung!$D$42&amp;", "&amp;Anmeldung!$E$42&amp;" / "&amp;Anmeldung!$G$42&amp;" / "&amp;Anmeldung!$J$42,"")</f>
        <v/>
      </c>
      <c r="C29" t="str">
        <f>IF(AND(35&lt;&gt;11,Anmeldung!$D$42&lt;&gt;"",Anmeldung!$G$42=Anmeldung!$G$18,Anmeldung!$J$42=Anmeldung!$J$18,(Anmeldung!$B$42&amp;": "&amp;Anmeldung!$D$42&amp;", "&amp;Anmeldung!$E$42&amp;" / "&amp;Anmeldung!$G$42&amp;" / "&amp;Anmeldung!$J$42)&lt;&gt;Anmeldung!$O$18),Anmeldung!$B$42&amp;": "&amp;Anmeldung!$D$42&amp;", "&amp;Anmeldung!$E$42&amp;" / "&amp;Anmeldung!$G$42&amp;" / "&amp;Anmeldung!$J$42,"")</f>
        <v/>
      </c>
      <c r="D29" t="str">
        <f>IF(AND(35&lt;&gt;11,Anmeldung!$D$42&lt;&gt;"",Anmeldung!$G$42&lt;&gt;Anmeldung!$G$18,(Anmeldung!$B$42&amp;": "&amp;Anmeldung!$D$42&amp;", "&amp;Anmeldung!$E$42&amp;" / "&amp;Anmeldung!$G$42&amp;" / "&amp;Anmeldung!$J$42)&lt;&gt;Anmeldung!$S$18),Anmeldung!$B$42&amp;": "&amp;Anmeldung!$D$42&amp;", "&amp;Anmeldung!$E$42&amp;" / "&amp;Anmeldung!$G$42&amp;" / "&amp;Anmeldung!$J$42,"")</f>
        <v/>
      </c>
      <c r="E29" t="str">
        <f>IF(AND(35&lt;&gt;11,Anmeldung!$D$42&lt;&gt;"",(Anmeldung!$B$42&amp;": "&amp;Anmeldung!$D$42&amp;", "&amp;Anmeldung!$E$42&amp;" / "&amp;Anmeldung!$G$42&amp;" / "&amp;Anmeldung!$J$42)&lt;&gt;Anmeldung!$R$18),Anmeldung!$B$42&amp;": "&amp;Anmeldung!$D$42&amp;", "&amp;Anmeldung!$E$42&amp;" / "&amp;Anmeldung!$G$42&amp;" / "&amp;Anmeldung!$J$42,"")</f>
        <v/>
      </c>
      <c r="F29" t="str">
        <f>IF(AND(34&lt;&gt;10,Anmeldung!$D$42&lt;&gt;"",Anmeldung!$U$42="Ja",Anmeldung!$G$42=Anmeldung!$G$18,Anmeldung!$J$42=Anmeldung!$J$18),Anmeldung!$B$42&amp;": "&amp;Anmeldung!$D$42&amp;", "&amp;Anmeldung!$E$42&amp;" / "&amp;Anmeldung!$G$42&amp;" / "&amp;Anmeldung!$J$42,"")</f>
        <v/>
      </c>
      <c r="I29" t="str">
        <f>IF(AND(35&lt;&gt;12,Anmeldung!$D$42&lt;&gt;"",Anmeldung!$G$42=Anmeldung!$G$19,Anmeldung!$J$42=Anmeldung!$J$19),Anmeldung!$B$42&amp;": "&amp;Anmeldung!$D$42&amp;", "&amp;Anmeldung!$E$42&amp;" / "&amp;Anmeldung!$G$42&amp;" / "&amp;Anmeldung!$J$42,"")</f>
        <v/>
      </c>
      <c r="J29" t="str">
        <f>IF(AND(35&lt;&gt;12,Anmeldung!$D$42&lt;&gt;"",Anmeldung!$G$42=Anmeldung!$G$19,Anmeldung!$J$42=Anmeldung!$J$19,(Anmeldung!$B$42&amp;": "&amp;Anmeldung!$D$42&amp;", "&amp;Anmeldung!$E$42&amp;" / "&amp;Anmeldung!$G$42&amp;" / "&amp;Anmeldung!$J$42)&lt;&gt;Anmeldung!$P$19),Anmeldung!$B$42&amp;": "&amp;Anmeldung!$D$42&amp;", "&amp;Anmeldung!$E$42&amp;" / "&amp;Anmeldung!$G$42&amp;" / "&amp;Anmeldung!$J$42,"")</f>
        <v/>
      </c>
      <c r="K29" t="str">
        <f>IF(AND(35&lt;&gt;12,Anmeldung!$D$42&lt;&gt;"",Anmeldung!$G$42=Anmeldung!$G$19,Anmeldung!$J$42=Anmeldung!$J$19,(Anmeldung!$B$42&amp;": "&amp;Anmeldung!$D$42&amp;", "&amp;Anmeldung!$E$42&amp;" / "&amp;Anmeldung!$G$42&amp;" / "&amp;Anmeldung!$J$42)&lt;&gt;Anmeldung!$O$19),Anmeldung!$B$42&amp;": "&amp;Anmeldung!$D$42&amp;", "&amp;Anmeldung!$E$42&amp;" / "&amp;Anmeldung!$G$42&amp;" / "&amp;Anmeldung!$J$42,"")</f>
        <v/>
      </c>
      <c r="L29" t="str">
        <f>IF(AND(35&lt;&gt;12,Anmeldung!$D$42&lt;&gt;"",Anmeldung!$G$42&lt;&gt;Anmeldung!$G$19,(Anmeldung!$B$42&amp;": "&amp;Anmeldung!$D$42&amp;", "&amp;Anmeldung!$E$42&amp;" / "&amp;Anmeldung!$G$42&amp;" / "&amp;Anmeldung!$J$42)&lt;&gt;Anmeldung!$S$19),Anmeldung!$B$42&amp;": "&amp;Anmeldung!$D$42&amp;", "&amp;Anmeldung!$E$42&amp;" / "&amp;Anmeldung!$G$42&amp;" / "&amp;Anmeldung!$J$42,"")</f>
        <v/>
      </c>
      <c r="M29" t="str">
        <f>IF(AND(35&lt;&gt;12,Anmeldung!$D$42&lt;&gt;"",(Anmeldung!$B$42&amp;": "&amp;Anmeldung!$D$42&amp;", "&amp;Anmeldung!$E$42&amp;" / "&amp;Anmeldung!$G$42&amp;" / "&amp;Anmeldung!$J$42)&lt;&gt;Anmeldung!$R$19),Anmeldung!$B$42&amp;": "&amp;Anmeldung!$D$42&amp;", "&amp;Anmeldung!$E$42&amp;" / "&amp;Anmeldung!$G$42&amp;" / "&amp;Anmeldung!$J$42,"")</f>
        <v/>
      </c>
      <c r="N29" t="str">
        <f>IF(AND(34&lt;&gt;11,Anmeldung!$D$42&lt;&gt;"",Anmeldung!$U$42="Ja",Anmeldung!$G$42=Anmeldung!$G$19,Anmeldung!$J$42=Anmeldung!$J$19),Anmeldung!$B$42&amp;": "&amp;Anmeldung!$D$42&amp;", "&amp;Anmeldung!$E$42&amp;" / "&amp;Anmeldung!$G$42&amp;" / "&amp;Anmeldung!$J$42,"")</f>
        <v/>
      </c>
      <c r="Q29" t="str">
        <f>IF(AND(35&lt;&gt;13,Anmeldung!$D$42&lt;&gt;"",Anmeldung!$G$42=Anmeldung!$G$20,Anmeldung!$J$42=Anmeldung!$J$20),Anmeldung!$B$42&amp;": "&amp;Anmeldung!$D$42&amp;", "&amp;Anmeldung!$E$42&amp;" / "&amp;Anmeldung!$G$42&amp;" / "&amp;Anmeldung!$J$42,"")</f>
        <v/>
      </c>
      <c r="R29" t="str">
        <f>IF(AND(35&lt;&gt;13,Anmeldung!$D$42&lt;&gt;"",Anmeldung!$G$42=Anmeldung!$G$20,Anmeldung!$J$42=Anmeldung!$J$20,(Anmeldung!$B$42&amp;": "&amp;Anmeldung!$D$42&amp;", "&amp;Anmeldung!$E$42&amp;" / "&amp;Anmeldung!$G$42&amp;" / "&amp;Anmeldung!$J$42)&lt;&gt;Anmeldung!$P$20),Anmeldung!$B$42&amp;": "&amp;Anmeldung!$D$42&amp;", "&amp;Anmeldung!$E$42&amp;" / "&amp;Anmeldung!$G$42&amp;" / "&amp;Anmeldung!$J$42,"")</f>
        <v/>
      </c>
      <c r="S29" t="str">
        <f>IF(AND(35&lt;&gt;13,Anmeldung!$D$42&lt;&gt;"",Anmeldung!$G$42=Anmeldung!$G$20,Anmeldung!$J$42=Anmeldung!$J$20,(Anmeldung!$B$42&amp;": "&amp;Anmeldung!$D$42&amp;", "&amp;Anmeldung!$E$42&amp;" / "&amp;Anmeldung!$G$42&amp;" / "&amp;Anmeldung!$J$42)&lt;&gt;Anmeldung!$O$20),Anmeldung!$B$42&amp;": "&amp;Anmeldung!$D$42&amp;", "&amp;Anmeldung!$E$42&amp;" / "&amp;Anmeldung!$G$42&amp;" / "&amp;Anmeldung!$J$42,"")</f>
        <v/>
      </c>
      <c r="T29" t="str">
        <f>IF(AND(35&lt;&gt;13,Anmeldung!$D$42&lt;&gt;"",Anmeldung!$G$42&lt;&gt;Anmeldung!$G$20,(Anmeldung!$B$42&amp;": "&amp;Anmeldung!$D$42&amp;", "&amp;Anmeldung!$E$42&amp;" / "&amp;Anmeldung!$G$42&amp;" / "&amp;Anmeldung!$J$42)&lt;&gt;Anmeldung!$S$20),Anmeldung!$B$42&amp;": "&amp;Anmeldung!$D$42&amp;", "&amp;Anmeldung!$E$42&amp;" / "&amp;Anmeldung!$G$42&amp;" / "&amp;Anmeldung!$J$42,"")</f>
        <v/>
      </c>
      <c r="U29" t="str">
        <f>IF(AND(35&lt;&gt;13,Anmeldung!$D$42&lt;&gt;"",(Anmeldung!$B$42&amp;": "&amp;Anmeldung!$D$42&amp;", "&amp;Anmeldung!$E$42&amp;" / "&amp;Anmeldung!$G$42&amp;" / "&amp;Anmeldung!$J$42)&lt;&gt;Anmeldung!$R$20),Anmeldung!$B$42&amp;": "&amp;Anmeldung!$D$42&amp;", "&amp;Anmeldung!$E$42&amp;" / "&amp;Anmeldung!$G$42&amp;" / "&amp;Anmeldung!$J$42,"")</f>
        <v/>
      </c>
      <c r="V29" t="str">
        <f>IF(AND(34&lt;&gt;12,Anmeldung!$D$42&lt;&gt;"",Anmeldung!$U$42="Ja",Anmeldung!$G$42=Anmeldung!$G$20,Anmeldung!$J$42=Anmeldung!$J$20),Anmeldung!$B$42&amp;": "&amp;Anmeldung!$D$42&amp;", "&amp;Anmeldung!$E$42&amp;" / "&amp;Anmeldung!$G$42&amp;" / "&amp;Anmeldung!$J$42,"")</f>
        <v/>
      </c>
      <c r="Y29" t="str">
        <f>IF(AND(35&lt;&gt;14,Anmeldung!$D$42&lt;&gt;"",Anmeldung!$G$42=Anmeldung!$G$21,Anmeldung!$J$42=Anmeldung!$J$21),Anmeldung!$B$42&amp;": "&amp;Anmeldung!$D$42&amp;", "&amp;Anmeldung!$E$42&amp;" / "&amp;Anmeldung!$G$42&amp;" / "&amp;Anmeldung!$J$42,"")</f>
        <v/>
      </c>
      <c r="Z29" t="str">
        <f>IF(AND(35&lt;&gt;14,Anmeldung!$D$42&lt;&gt;"",Anmeldung!$G$42=Anmeldung!$G$21,Anmeldung!$J$42=Anmeldung!$J$21,(Anmeldung!$B$42&amp;": "&amp;Anmeldung!$D$42&amp;", "&amp;Anmeldung!$E$42&amp;" / "&amp;Anmeldung!$G$42&amp;" / "&amp;Anmeldung!$J$42)&lt;&gt;Anmeldung!$P$21),Anmeldung!$B$42&amp;": "&amp;Anmeldung!$D$42&amp;", "&amp;Anmeldung!$E$42&amp;" / "&amp;Anmeldung!$G$42&amp;" / "&amp;Anmeldung!$J$42,"")</f>
        <v/>
      </c>
      <c r="AA29" t="str">
        <f>IF(AND(35&lt;&gt;14,Anmeldung!$D$42&lt;&gt;"",Anmeldung!$G$42=Anmeldung!$G$21,Anmeldung!$J$42=Anmeldung!$J$21,(Anmeldung!$B$42&amp;": "&amp;Anmeldung!$D$42&amp;", "&amp;Anmeldung!$E$42&amp;" / "&amp;Anmeldung!$G$42&amp;" / "&amp;Anmeldung!$J$42)&lt;&gt;Anmeldung!$O$21),Anmeldung!$B$42&amp;": "&amp;Anmeldung!$D$42&amp;", "&amp;Anmeldung!$E$42&amp;" / "&amp;Anmeldung!$G$42&amp;" / "&amp;Anmeldung!$J$42,"")</f>
        <v/>
      </c>
      <c r="AB29" t="str">
        <f>IF(AND(35&lt;&gt;14,Anmeldung!$D$42&lt;&gt;"",Anmeldung!$G$42&lt;&gt;Anmeldung!$G$21,(Anmeldung!$B$42&amp;": "&amp;Anmeldung!$D$42&amp;", "&amp;Anmeldung!$E$42&amp;" / "&amp;Anmeldung!$G$42&amp;" / "&amp;Anmeldung!$J$42)&lt;&gt;Anmeldung!$S$21),Anmeldung!$B$42&amp;": "&amp;Anmeldung!$D$42&amp;", "&amp;Anmeldung!$E$42&amp;" / "&amp;Anmeldung!$G$42&amp;" / "&amp;Anmeldung!$J$42,"")</f>
        <v/>
      </c>
      <c r="AC29" t="str">
        <f>IF(AND(35&lt;&gt;14,Anmeldung!$D$42&lt;&gt;"",(Anmeldung!$B$42&amp;": "&amp;Anmeldung!$D$42&amp;", "&amp;Anmeldung!$E$42&amp;" / "&amp;Anmeldung!$G$42&amp;" / "&amp;Anmeldung!$J$42)&lt;&gt;Anmeldung!$R$21),Anmeldung!$B$42&amp;": "&amp;Anmeldung!$D$42&amp;", "&amp;Anmeldung!$E$42&amp;" / "&amp;Anmeldung!$G$42&amp;" / "&amp;Anmeldung!$J$42,"")</f>
        <v/>
      </c>
      <c r="AD29" t="str">
        <f>IF(AND(34&lt;&gt;13,Anmeldung!$D$42&lt;&gt;"",Anmeldung!$U$42="Ja",Anmeldung!$G$42=Anmeldung!$G$21,Anmeldung!$J$42=Anmeldung!$J$21),Anmeldung!$B$42&amp;": "&amp;Anmeldung!$D$42&amp;", "&amp;Anmeldung!$E$42&amp;" / "&amp;Anmeldung!$G$42&amp;" / "&amp;Anmeldung!$J$42,"")</f>
        <v/>
      </c>
      <c r="AG29" t="str">
        <f>IF(AND(35&lt;&gt;15,Anmeldung!$D$42&lt;&gt;"",Anmeldung!$G$42=Anmeldung!$G$22,Anmeldung!$J$42=Anmeldung!$J$22),Anmeldung!$B$42&amp;": "&amp;Anmeldung!$D$42&amp;", "&amp;Anmeldung!$E$42&amp;" / "&amp;Anmeldung!$G$42&amp;" / "&amp;Anmeldung!$J$42,"")</f>
        <v/>
      </c>
      <c r="AH29" t="str">
        <f>IF(AND(35&lt;&gt;15,Anmeldung!$D$42&lt;&gt;"",Anmeldung!$G$42=Anmeldung!$G$22,Anmeldung!$J$42=Anmeldung!$J$22,(Anmeldung!$B$42&amp;": "&amp;Anmeldung!$D$42&amp;", "&amp;Anmeldung!$E$42&amp;" / "&amp;Anmeldung!$G$42&amp;" / "&amp;Anmeldung!$J$42)&lt;&gt;Anmeldung!$P$22),Anmeldung!$B$42&amp;": "&amp;Anmeldung!$D$42&amp;", "&amp;Anmeldung!$E$42&amp;" / "&amp;Anmeldung!$G$42&amp;" / "&amp;Anmeldung!$J$42,"")</f>
        <v/>
      </c>
      <c r="AI29" t="str">
        <f>IF(AND(35&lt;&gt;15,Anmeldung!$D$42&lt;&gt;"",Anmeldung!$G$42=Anmeldung!$G$22,Anmeldung!$J$42=Anmeldung!$J$22,(Anmeldung!$B$42&amp;": "&amp;Anmeldung!$D$42&amp;", "&amp;Anmeldung!$E$42&amp;" / "&amp;Anmeldung!$G$42&amp;" / "&amp;Anmeldung!$J$42)&lt;&gt;Anmeldung!$O$22),Anmeldung!$B$42&amp;": "&amp;Anmeldung!$D$42&amp;", "&amp;Anmeldung!$E$42&amp;" / "&amp;Anmeldung!$G$42&amp;" / "&amp;Anmeldung!$J$42,"")</f>
        <v/>
      </c>
      <c r="AJ29" t="str">
        <f>IF(AND(35&lt;&gt;15,Anmeldung!$D$42&lt;&gt;"",Anmeldung!$G$42&lt;&gt;Anmeldung!$G$22,(Anmeldung!$B$42&amp;": "&amp;Anmeldung!$D$42&amp;", "&amp;Anmeldung!$E$42&amp;" / "&amp;Anmeldung!$G$42&amp;" / "&amp;Anmeldung!$J$42)&lt;&gt;Anmeldung!$S$22),Anmeldung!$B$42&amp;": "&amp;Anmeldung!$D$42&amp;", "&amp;Anmeldung!$E$42&amp;" / "&amp;Anmeldung!$G$42&amp;" / "&amp;Anmeldung!$J$42,"")</f>
        <v/>
      </c>
      <c r="AK29" t="str">
        <f>IF(AND(35&lt;&gt;15,Anmeldung!$D$42&lt;&gt;"",(Anmeldung!$B$42&amp;": "&amp;Anmeldung!$D$42&amp;", "&amp;Anmeldung!$E$42&amp;" / "&amp;Anmeldung!$G$42&amp;" / "&amp;Anmeldung!$J$42)&lt;&gt;Anmeldung!$R$22),Anmeldung!$B$42&amp;": "&amp;Anmeldung!$D$42&amp;", "&amp;Anmeldung!$E$42&amp;" / "&amp;Anmeldung!$G$42&amp;" / "&amp;Anmeldung!$J$42,"")</f>
        <v/>
      </c>
      <c r="AL29" t="str">
        <f>IF(AND(34&lt;&gt;14,Anmeldung!$D$42&lt;&gt;"",Anmeldung!$U$42="Ja",Anmeldung!$G$42=Anmeldung!$G$22,Anmeldung!$J$42=Anmeldung!$J$22),Anmeldung!$B$42&amp;": "&amp;Anmeldung!$D$42&amp;", "&amp;Anmeldung!$E$42&amp;" / "&amp;Anmeldung!$G$42&amp;" / "&amp;Anmeldung!$J$42,"")</f>
        <v/>
      </c>
      <c r="AO29" t="str">
        <f>IF(AND(35&lt;&gt;16,Anmeldung!$D$42&lt;&gt;"",Anmeldung!$G$42=Anmeldung!$G$23,Anmeldung!$J$42=Anmeldung!$J$23),Anmeldung!$B$42&amp;": "&amp;Anmeldung!$D$42&amp;", "&amp;Anmeldung!$E$42&amp;" / "&amp;Anmeldung!$G$42&amp;" / "&amp;Anmeldung!$J$42,"")</f>
        <v/>
      </c>
      <c r="AP29" t="str">
        <f>IF(AND(35&lt;&gt;16,Anmeldung!$D$42&lt;&gt;"",Anmeldung!$G$42=Anmeldung!$G$23,Anmeldung!$J$42=Anmeldung!$J$23,(Anmeldung!$B$42&amp;": "&amp;Anmeldung!$D$42&amp;", "&amp;Anmeldung!$E$42&amp;" / "&amp;Anmeldung!$G$42&amp;" / "&amp;Anmeldung!$J$42)&lt;&gt;Anmeldung!$P$23),Anmeldung!$B$42&amp;": "&amp;Anmeldung!$D$42&amp;", "&amp;Anmeldung!$E$42&amp;" / "&amp;Anmeldung!$G$42&amp;" / "&amp;Anmeldung!$J$42,"")</f>
        <v/>
      </c>
      <c r="AQ29" t="str">
        <f>IF(AND(35&lt;&gt;16,Anmeldung!$D$42&lt;&gt;"",Anmeldung!$G$42=Anmeldung!$G$23,Anmeldung!$J$42=Anmeldung!$J$23,(Anmeldung!$B$42&amp;": "&amp;Anmeldung!$D$42&amp;", "&amp;Anmeldung!$E$42&amp;" / "&amp;Anmeldung!$G$42&amp;" / "&amp;Anmeldung!$J$42)&lt;&gt;Anmeldung!$O$23),Anmeldung!$B$42&amp;": "&amp;Anmeldung!$D$42&amp;", "&amp;Anmeldung!$E$42&amp;" / "&amp;Anmeldung!$G$42&amp;" / "&amp;Anmeldung!$J$42,"")</f>
        <v/>
      </c>
      <c r="AR29" t="str">
        <f>IF(AND(35&lt;&gt;16,Anmeldung!$D$42&lt;&gt;"",Anmeldung!$G$42&lt;&gt;Anmeldung!$G$23,(Anmeldung!$B$42&amp;": "&amp;Anmeldung!$D$42&amp;", "&amp;Anmeldung!$E$42&amp;" / "&amp;Anmeldung!$G$42&amp;" / "&amp;Anmeldung!$J$42)&lt;&gt;Anmeldung!$S$23),Anmeldung!$B$42&amp;": "&amp;Anmeldung!$D$42&amp;", "&amp;Anmeldung!$E$42&amp;" / "&amp;Anmeldung!$G$42&amp;" / "&amp;Anmeldung!$J$42,"")</f>
        <v/>
      </c>
      <c r="AS29" t="str">
        <f>IF(AND(35&lt;&gt;16,Anmeldung!$D$42&lt;&gt;"",(Anmeldung!$B$42&amp;": "&amp;Anmeldung!$D$42&amp;", "&amp;Anmeldung!$E$42&amp;" / "&amp;Anmeldung!$G$42&amp;" / "&amp;Anmeldung!$J$42)&lt;&gt;Anmeldung!$R$23),Anmeldung!$B$42&amp;": "&amp;Anmeldung!$D$42&amp;", "&amp;Anmeldung!$E$42&amp;" / "&amp;Anmeldung!$G$42&amp;" / "&amp;Anmeldung!$J$42,"")</f>
        <v/>
      </c>
      <c r="AT29" t="str">
        <f>IF(AND(34&lt;&gt;15,Anmeldung!$D$42&lt;&gt;"",Anmeldung!$U$42="Ja",Anmeldung!$G$42=Anmeldung!$G$23,Anmeldung!$J$42=Anmeldung!$J$23),Anmeldung!$B$42&amp;": "&amp;Anmeldung!$D$42&amp;", "&amp;Anmeldung!$E$42&amp;" / "&amp;Anmeldung!$G$42&amp;" / "&amp;Anmeldung!$J$42,"")</f>
        <v/>
      </c>
      <c r="AW29" t="str">
        <f>IF(AND(35&lt;&gt;17,Anmeldung!$D$42&lt;&gt;"",Anmeldung!$G$42=Anmeldung!$G$24,Anmeldung!$J$42=Anmeldung!$J$24),Anmeldung!$B$42&amp;": "&amp;Anmeldung!$D$42&amp;", "&amp;Anmeldung!$E$42&amp;" / "&amp;Anmeldung!$G$42&amp;" / "&amp;Anmeldung!$J$42,"")</f>
        <v/>
      </c>
      <c r="AX29" t="str">
        <f>IF(AND(35&lt;&gt;17,Anmeldung!$D$42&lt;&gt;"",Anmeldung!$G$42=Anmeldung!$G$24,Anmeldung!$J$42=Anmeldung!$J$24,(Anmeldung!$B$42&amp;": "&amp;Anmeldung!$D$42&amp;", "&amp;Anmeldung!$E$42&amp;" / "&amp;Anmeldung!$G$42&amp;" / "&amp;Anmeldung!$J$42)&lt;&gt;Anmeldung!$P$24),Anmeldung!$B$42&amp;": "&amp;Anmeldung!$D$42&amp;", "&amp;Anmeldung!$E$42&amp;" / "&amp;Anmeldung!$G$42&amp;" / "&amp;Anmeldung!$J$42,"")</f>
        <v/>
      </c>
      <c r="AY29" t="str">
        <f>IF(AND(35&lt;&gt;17,Anmeldung!$D$42&lt;&gt;"",Anmeldung!$G$42=Anmeldung!$G$24,Anmeldung!$J$42=Anmeldung!$J$24,(Anmeldung!$B$42&amp;": "&amp;Anmeldung!$D$42&amp;", "&amp;Anmeldung!$E$42&amp;" / "&amp;Anmeldung!$G$42&amp;" / "&amp;Anmeldung!$J$42)&lt;&gt;Anmeldung!$O$24),Anmeldung!$B$42&amp;": "&amp;Anmeldung!$D$42&amp;", "&amp;Anmeldung!$E$42&amp;" / "&amp;Anmeldung!$G$42&amp;" / "&amp;Anmeldung!$J$42,"")</f>
        <v/>
      </c>
      <c r="AZ29" t="str">
        <f>IF(AND(35&lt;&gt;17,Anmeldung!$D$42&lt;&gt;"",Anmeldung!$G$42&lt;&gt;Anmeldung!$G$24,(Anmeldung!$B$42&amp;": "&amp;Anmeldung!$D$42&amp;", "&amp;Anmeldung!$E$42&amp;" / "&amp;Anmeldung!$G$42&amp;" / "&amp;Anmeldung!$J$42)&lt;&gt;Anmeldung!$S$24),Anmeldung!$B$42&amp;": "&amp;Anmeldung!$D$42&amp;", "&amp;Anmeldung!$E$42&amp;" / "&amp;Anmeldung!$G$42&amp;" / "&amp;Anmeldung!$J$42,"")</f>
        <v/>
      </c>
      <c r="BA29" t="str">
        <f>IF(AND(35&lt;&gt;17,Anmeldung!$D$42&lt;&gt;"",(Anmeldung!$B$42&amp;": "&amp;Anmeldung!$D$42&amp;", "&amp;Anmeldung!$E$42&amp;" / "&amp;Anmeldung!$G$42&amp;" / "&amp;Anmeldung!$J$42)&lt;&gt;Anmeldung!$R$24),Anmeldung!$B$42&amp;": "&amp;Anmeldung!$D$42&amp;", "&amp;Anmeldung!$E$42&amp;" / "&amp;Anmeldung!$G$42&amp;" / "&amp;Anmeldung!$J$42,"")</f>
        <v/>
      </c>
      <c r="BB29" t="str">
        <f>IF(AND(34&lt;&gt;16,Anmeldung!$D$42&lt;&gt;"",Anmeldung!$U$42="Ja",Anmeldung!$G$42=Anmeldung!$G$24,Anmeldung!$J$42=Anmeldung!$J$24),Anmeldung!$B$42&amp;": "&amp;Anmeldung!$D$42&amp;", "&amp;Anmeldung!$E$42&amp;" / "&amp;Anmeldung!$G$42&amp;" / "&amp;Anmeldung!$J$42,"")</f>
        <v/>
      </c>
      <c r="BE29" t="str">
        <f>IF(AND(35&lt;&gt;18,Anmeldung!$D$42&lt;&gt;"",Anmeldung!$G$42=Anmeldung!$G$25,Anmeldung!$J$42=Anmeldung!$J$25),Anmeldung!$B$42&amp;": "&amp;Anmeldung!$D$42&amp;", "&amp;Anmeldung!$E$42&amp;" / "&amp;Anmeldung!$G$42&amp;" / "&amp;Anmeldung!$J$42,"")</f>
        <v/>
      </c>
      <c r="BF29" t="str">
        <f>IF(AND(35&lt;&gt;18,Anmeldung!$D$42&lt;&gt;"",Anmeldung!$G$42=Anmeldung!$G$25,Anmeldung!$J$42=Anmeldung!$J$25,(Anmeldung!$B$42&amp;": "&amp;Anmeldung!$D$42&amp;", "&amp;Anmeldung!$E$42&amp;" / "&amp;Anmeldung!$G$42&amp;" / "&amp;Anmeldung!$J$42)&lt;&gt;Anmeldung!$P$25),Anmeldung!$B$42&amp;": "&amp;Anmeldung!$D$42&amp;", "&amp;Anmeldung!$E$42&amp;" / "&amp;Anmeldung!$G$42&amp;" / "&amp;Anmeldung!$J$42,"")</f>
        <v/>
      </c>
      <c r="BG29" t="str">
        <f>IF(AND(35&lt;&gt;18,Anmeldung!$D$42&lt;&gt;"",Anmeldung!$G$42=Anmeldung!$G$25,Anmeldung!$J$42=Anmeldung!$J$25,(Anmeldung!$B$42&amp;": "&amp;Anmeldung!$D$42&amp;", "&amp;Anmeldung!$E$42&amp;" / "&amp;Anmeldung!$G$42&amp;" / "&amp;Anmeldung!$J$42)&lt;&gt;Anmeldung!$O$25),Anmeldung!$B$42&amp;": "&amp;Anmeldung!$D$42&amp;", "&amp;Anmeldung!$E$42&amp;" / "&amp;Anmeldung!$G$42&amp;" / "&amp;Anmeldung!$J$42,"")</f>
        <v/>
      </c>
      <c r="BH29" t="str">
        <f>IF(AND(35&lt;&gt;18,Anmeldung!$D$42&lt;&gt;"",Anmeldung!$G$42&lt;&gt;Anmeldung!$G$25,(Anmeldung!$B$42&amp;": "&amp;Anmeldung!$D$42&amp;", "&amp;Anmeldung!$E$42&amp;" / "&amp;Anmeldung!$G$42&amp;" / "&amp;Anmeldung!$J$42)&lt;&gt;Anmeldung!$S$25),Anmeldung!$B$42&amp;": "&amp;Anmeldung!$D$42&amp;", "&amp;Anmeldung!$E$42&amp;" / "&amp;Anmeldung!$G$42&amp;" / "&amp;Anmeldung!$J$42,"")</f>
        <v/>
      </c>
      <c r="BI29" t="str">
        <f>IF(AND(35&lt;&gt;18,Anmeldung!$D$42&lt;&gt;"",(Anmeldung!$B$42&amp;": "&amp;Anmeldung!$D$42&amp;", "&amp;Anmeldung!$E$42&amp;" / "&amp;Anmeldung!$G$42&amp;" / "&amp;Anmeldung!$J$42)&lt;&gt;Anmeldung!$R$25),Anmeldung!$B$42&amp;": "&amp;Anmeldung!$D$42&amp;", "&amp;Anmeldung!$E$42&amp;" / "&amp;Anmeldung!$G$42&amp;" / "&amp;Anmeldung!$J$42,"")</f>
        <v/>
      </c>
      <c r="BJ29" t="str">
        <f>IF(AND(34&lt;&gt;17,Anmeldung!$D$42&lt;&gt;"",Anmeldung!$U$42="Ja",Anmeldung!$G$42=Anmeldung!$G$25,Anmeldung!$J$42=Anmeldung!$J$25),Anmeldung!$B$42&amp;": "&amp;Anmeldung!$D$42&amp;", "&amp;Anmeldung!$E$42&amp;" / "&amp;Anmeldung!$G$42&amp;" / "&amp;Anmeldung!$J$42,"")</f>
        <v/>
      </c>
      <c r="BM29" t="str">
        <f>IF(AND(35&lt;&gt;19,Anmeldung!$D$42&lt;&gt;"",Anmeldung!$G$42=Anmeldung!$G$26,Anmeldung!$J$42=Anmeldung!$J$26),Anmeldung!$B$42&amp;": "&amp;Anmeldung!$D$42&amp;", "&amp;Anmeldung!$E$42&amp;" / "&amp;Anmeldung!$G$42&amp;" / "&amp;Anmeldung!$J$42,"")</f>
        <v/>
      </c>
      <c r="BN29" t="str">
        <f>IF(AND(35&lt;&gt;19,Anmeldung!$D$42&lt;&gt;"",Anmeldung!$G$42=Anmeldung!$G$26,Anmeldung!$J$42=Anmeldung!$J$26,(Anmeldung!$B$42&amp;": "&amp;Anmeldung!$D$42&amp;", "&amp;Anmeldung!$E$42&amp;" / "&amp;Anmeldung!$G$42&amp;" / "&amp;Anmeldung!$J$42)&lt;&gt;Anmeldung!$P$26),Anmeldung!$B$42&amp;": "&amp;Anmeldung!$D$42&amp;", "&amp;Anmeldung!$E$42&amp;" / "&amp;Anmeldung!$G$42&amp;" / "&amp;Anmeldung!$J$42,"")</f>
        <v/>
      </c>
      <c r="BO29" t="str">
        <f>IF(AND(35&lt;&gt;19,Anmeldung!$D$42&lt;&gt;"",Anmeldung!$G$42=Anmeldung!$G$26,Anmeldung!$J$42=Anmeldung!$J$26,(Anmeldung!$B$42&amp;": "&amp;Anmeldung!$D$42&amp;", "&amp;Anmeldung!$E$42&amp;" / "&amp;Anmeldung!$G$42&amp;" / "&amp;Anmeldung!$J$42)&lt;&gt;Anmeldung!$O$26),Anmeldung!$B$42&amp;": "&amp;Anmeldung!$D$42&amp;", "&amp;Anmeldung!$E$42&amp;" / "&amp;Anmeldung!$G$42&amp;" / "&amp;Anmeldung!$J$42,"")</f>
        <v/>
      </c>
      <c r="BP29" t="str">
        <f>IF(AND(35&lt;&gt;19,Anmeldung!$D$42&lt;&gt;"",Anmeldung!$G$42&lt;&gt;Anmeldung!$G$26,(Anmeldung!$B$42&amp;": "&amp;Anmeldung!$D$42&amp;", "&amp;Anmeldung!$E$42&amp;" / "&amp;Anmeldung!$G$42&amp;" / "&amp;Anmeldung!$J$42)&lt;&gt;Anmeldung!$S$26),Anmeldung!$B$42&amp;": "&amp;Anmeldung!$D$42&amp;", "&amp;Anmeldung!$E$42&amp;" / "&amp;Anmeldung!$G$42&amp;" / "&amp;Anmeldung!$J$42,"")</f>
        <v/>
      </c>
      <c r="BQ29" t="str">
        <f>IF(AND(35&lt;&gt;19,Anmeldung!$D$42&lt;&gt;"",(Anmeldung!$B$42&amp;": "&amp;Anmeldung!$D$42&amp;", "&amp;Anmeldung!$E$42&amp;" / "&amp;Anmeldung!$G$42&amp;" / "&amp;Anmeldung!$J$42)&lt;&gt;Anmeldung!$R$26),Anmeldung!$B$42&amp;": "&amp;Anmeldung!$D$42&amp;", "&amp;Anmeldung!$E$42&amp;" / "&amp;Anmeldung!$G$42&amp;" / "&amp;Anmeldung!$J$42,"")</f>
        <v/>
      </c>
      <c r="BR29" t="str">
        <f>IF(AND(34&lt;&gt;18,Anmeldung!$D$42&lt;&gt;"",Anmeldung!$U$42="Ja",Anmeldung!$G$42=Anmeldung!$G$26,Anmeldung!$J$42=Anmeldung!$J$26),Anmeldung!$B$42&amp;": "&amp;Anmeldung!$D$42&amp;", "&amp;Anmeldung!$E$42&amp;" / "&amp;Anmeldung!$G$42&amp;" / "&amp;Anmeldung!$J$42,"")</f>
        <v/>
      </c>
      <c r="BU29" t="str">
        <f>IF(AND(35&lt;&gt;20,Anmeldung!$D$42&lt;&gt;"",Anmeldung!$G$42=Anmeldung!$G$27,Anmeldung!$J$42=Anmeldung!$J$27),Anmeldung!$B$42&amp;": "&amp;Anmeldung!$D$42&amp;", "&amp;Anmeldung!$E$42&amp;" / "&amp;Anmeldung!$G$42&amp;" / "&amp;Anmeldung!$J$42,"")</f>
        <v/>
      </c>
      <c r="BV29" t="str">
        <f>IF(AND(35&lt;&gt;20,Anmeldung!$D$42&lt;&gt;"",Anmeldung!$G$42=Anmeldung!$G$27,Anmeldung!$J$42=Anmeldung!$J$27,(Anmeldung!$B$42&amp;": "&amp;Anmeldung!$D$42&amp;", "&amp;Anmeldung!$E$42&amp;" / "&amp;Anmeldung!$G$42&amp;" / "&amp;Anmeldung!$J$42)&lt;&gt;Anmeldung!$P$27),Anmeldung!$B$42&amp;": "&amp;Anmeldung!$D$42&amp;", "&amp;Anmeldung!$E$42&amp;" / "&amp;Anmeldung!$G$42&amp;" / "&amp;Anmeldung!$J$42,"")</f>
        <v/>
      </c>
      <c r="BW29" t="str">
        <f>IF(AND(35&lt;&gt;20,Anmeldung!$D$42&lt;&gt;"",Anmeldung!$G$42=Anmeldung!$G$27,Anmeldung!$J$42=Anmeldung!$J$27,(Anmeldung!$B$42&amp;": "&amp;Anmeldung!$D$42&amp;", "&amp;Anmeldung!$E$42&amp;" / "&amp;Anmeldung!$G$42&amp;" / "&amp;Anmeldung!$J$42)&lt;&gt;Anmeldung!$O$27),Anmeldung!$B$42&amp;": "&amp;Anmeldung!$D$42&amp;", "&amp;Anmeldung!$E$42&amp;" / "&amp;Anmeldung!$G$42&amp;" / "&amp;Anmeldung!$J$42,"")</f>
        <v/>
      </c>
      <c r="BX29" t="str">
        <f>IF(AND(35&lt;&gt;20,Anmeldung!$D$42&lt;&gt;"",Anmeldung!$G$42&lt;&gt;Anmeldung!$G$27,(Anmeldung!$B$42&amp;": "&amp;Anmeldung!$D$42&amp;", "&amp;Anmeldung!$E$42&amp;" / "&amp;Anmeldung!$G$42&amp;" / "&amp;Anmeldung!$J$42)&lt;&gt;Anmeldung!$S$27),Anmeldung!$B$42&amp;": "&amp;Anmeldung!$D$42&amp;", "&amp;Anmeldung!$E$42&amp;" / "&amp;Anmeldung!$G$42&amp;" / "&amp;Anmeldung!$J$42,"")</f>
        <v/>
      </c>
      <c r="BY29" t="str">
        <f>IF(AND(35&lt;&gt;20,Anmeldung!$D$42&lt;&gt;"",(Anmeldung!$B$42&amp;": "&amp;Anmeldung!$D$42&amp;", "&amp;Anmeldung!$E$42&amp;" / "&amp;Anmeldung!$G$42&amp;" / "&amp;Anmeldung!$J$42)&lt;&gt;Anmeldung!$R$27),Anmeldung!$B$42&amp;": "&amp;Anmeldung!$D$42&amp;", "&amp;Anmeldung!$E$42&amp;" / "&amp;Anmeldung!$G$42&amp;" / "&amp;Anmeldung!$J$42,"")</f>
        <v/>
      </c>
      <c r="BZ29" t="str">
        <f>IF(AND(34&lt;&gt;19,Anmeldung!$D$42&lt;&gt;"",Anmeldung!$U$42="Ja",Anmeldung!$G$42=Anmeldung!$G$27,Anmeldung!$J$42=Anmeldung!$J$27),Anmeldung!$B$42&amp;": "&amp;Anmeldung!$D$42&amp;", "&amp;Anmeldung!$E$42&amp;" / "&amp;Anmeldung!$G$42&amp;" / "&amp;Anmeldung!$J$42,"")</f>
        <v/>
      </c>
      <c r="CC29" t="str">
        <f>IF(AND(35&lt;&gt;21,Anmeldung!$D$42&lt;&gt;"",Anmeldung!$G$42=Anmeldung!$G$28,Anmeldung!$J$42=Anmeldung!$J$28),Anmeldung!$B$42&amp;": "&amp;Anmeldung!$D$42&amp;", "&amp;Anmeldung!$E$42&amp;" / "&amp;Anmeldung!$G$42&amp;" / "&amp;Anmeldung!$J$42,"")</f>
        <v/>
      </c>
      <c r="CD29" t="str">
        <f>IF(AND(35&lt;&gt;21,Anmeldung!$D$42&lt;&gt;"",Anmeldung!$G$42=Anmeldung!$G$28,Anmeldung!$J$42=Anmeldung!$J$28,(Anmeldung!$B$42&amp;": "&amp;Anmeldung!$D$42&amp;", "&amp;Anmeldung!$E$42&amp;" / "&amp;Anmeldung!$G$42&amp;" / "&amp;Anmeldung!$J$42)&lt;&gt;Anmeldung!$P$28),Anmeldung!$B$42&amp;": "&amp;Anmeldung!$D$42&amp;", "&amp;Anmeldung!$E$42&amp;" / "&amp;Anmeldung!$G$42&amp;" / "&amp;Anmeldung!$J$42,"")</f>
        <v/>
      </c>
      <c r="CE29" t="str">
        <f>IF(AND(35&lt;&gt;21,Anmeldung!$D$42&lt;&gt;"",Anmeldung!$G$42=Anmeldung!$G$28,Anmeldung!$J$42=Anmeldung!$J$28,(Anmeldung!$B$42&amp;": "&amp;Anmeldung!$D$42&amp;", "&amp;Anmeldung!$E$42&amp;" / "&amp;Anmeldung!$G$42&amp;" / "&amp;Anmeldung!$J$42)&lt;&gt;Anmeldung!$O$28),Anmeldung!$B$42&amp;": "&amp;Anmeldung!$D$42&amp;", "&amp;Anmeldung!$E$42&amp;" / "&amp;Anmeldung!$G$42&amp;" / "&amp;Anmeldung!$J$42,"")</f>
        <v/>
      </c>
      <c r="CF29" t="str">
        <f>IF(AND(35&lt;&gt;21,Anmeldung!$D$42&lt;&gt;"",Anmeldung!$G$42&lt;&gt;Anmeldung!$G$28,(Anmeldung!$B$42&amp;": "&amp;Anmeldung!$D$42&amp;", "&amp;Anmeldung!$E$42&amp;" / "&amp;Anmeldung!$G$42&amp;" / "&amp;Anmeldung!$J$42)&lt;&gt;Anmeldung!$S$28),Anmeldung!$B$42&amp;": "&amp;Anmeldung!$D$42&amp;", "&amp;Anmeldung!$E$42&amp;" / "&amp;Anmeldung!$G$42&amp;" / "&amp;Anmeldung!$J$42,"")</f>
        <v/>
      </c>
      <c r="CG29" t="str">
        <f>IF(AND(35&lt;&gt;21,Anmeldung!$D$42&lt;&gt;"",(Anmeldung!$B$42&amp;": "&amp;Anmeldung!$D$42&amp;", "&amp;Anmeldung!$E$42&amp;" / "&amp;Anmeldung!$G$42&amp;" / "&amp;Anmeldung!$J$42)&lt;&gt;Anmeldung!$R$28),Anmeldung!$B$42&amp;": "&amp;Anmeldung!$D$42&amp;", "&amp;Anmeldung!$E$42&amp;" / "&amp;Anmeldung!$G$42&amp;" / "&amp;Anmeldung!$J$42,"")</f>
        <v/>
      </c>
      <c r="CH29" t="str">
        <f>IF(AND(34&lt;&gt;20,Anmeldung!$D$42&lt;&gt;"",Anmeldung!$U$42="Ja",Anmeldung!$G$42=Anmeldung!$G$28,Anmeldung!$J$42=Anmeldung!$J$28),Anmeldung!$B$42&amp;": "&amp;Anmeldung!$D$42&amp;", "&amp;Anmeldung!$E$42&amp;" / "&amp;Anmeldung!$G$42&amp;" / "&amp;Anmeldung!$J$42,"")</f>
        <v/>
      </c>
      <c r="CK29" t="str">
        <f>IF(AND(35&lt;&gt;22,Anmeldung!$D$42&lt;&gt;"",Anmeldung!$G$42=Anmeldung!$G$29,Anmeldung!$J$42=Anmeldung!$J$29),Anmeldung!$B$42&amp;": "&amp;Anmeldung!$D$42&amp;", "&amp;Anmeldung!$E$42&amp;" / "&amp;Anmeldung!$G$42&amp;" / "&amp;Anmeldung!$J$42,"")</f>
        <v/>
      </c>
      <c r="CL29" t="str">
        <f>IF(AND(35&lt;&gt;22,Anmeldung!$D$42&lt;&gt;"",Anmeldung!$G$42=Anmeldung!$G$29,Anmeldung!$J$42=Anmeldung!$J$29,(Anmeldung!$B$42&amp;": "&amp;Anmeldung!$D$42&amp;", "&amp;Anmeldung!$E$42&amp;" / "&amp;Anmeldung!$G$42&amp;" / "&amp;Anmeldung!$J$42)&lt;&gt;Anmeldung!$P$29),Anmeldung!$B$42&amp;": "&amp;Anmeldung!$D$42&amp;", "&amp;Anmeldung!$E$42&amp;" / "&amp;Anmeldung!$G$42&amp;" / "&amp;Anmeldung!$J$42,"")</f>
        <v/>
      </c>
      <c r="CM29" t="str">
        <f>IF(AND(35&lt;&gt;22,Anmeldung!$D$42&lt;&gt;"",Anmeldung!$G$42=Anmeldung!$G$29,Anmeldung!$J$42=Anmeldung!$J$29,(Anmeldung!$B$42&amp;": "&amp;Anmeldung!$D$42&amp;", "&amp;Anmeldung!$E$42&amp;" / "&amp;Anmeldung!$G$42&amp;" / "&amp;Anmeldung!$J$42)&lt;&gt;Anmeldung!$O$29),Anmeldung!$B$42&amp;": "&amp;Anmeldung!$D$42&amp;", "&amp;Anmeldung!$E$42&amp;" / "&amp;Anmeldung!$G$42&amp;" / "&amp;Anmeldung!$J$42,"")</f>
        <v/>
      </c>
      <c r="CN29" t="str">
        <f>IF(AND(35&lt;&gt;22,Anmeldung!$D$42&lt;&gt;"",Anmeldung!$G$42&lt;&gt;Anmeldung!$G$29,(Anmeldung!$B$42&amp;": "&amp;Anmeldung!$D$42&amp;", "&amp;Anmeldung!$E$42&amp;" / "&amp;Anmeldung!$G$42&amp;" / "&amp;Anmeldung!$J$42)&lt;&gt;Anmeldung!$S$29),Anmeldung!$B$42&amp;": "&amp;Anmeldung!$D$42&amp;", "&amp;Anmeldung!$E$42&amp;" / "&amp;Anmeldung!$G$42&amp;" / "&amp;Anmeldung!$J$42,"")</f>
        <v/>
      </c>
      <c r="CO29" t="str">
        <f>IF(AND(35&lt;&gt;22,Anmeldung!$D$42&lt;&gt;"",(Anmeldung!$B$42&amp;": "&amp;Anmeldung!$D$42&amp;", "&amp;Anmeldung!$E$42&amp;" / "&amp;Anmeldung!$G$42&amp;" / "&amp;Anmeldung!$J$42)&lt;&gt;Anmeldung!$R$29),Anmeldung!$B$42&amp;": "&amp;Anmeldung!$D$42&amp;", "&amp;Anmeldung!$E$42&amp;" / "&amp;Anmeldung!$G$42&amp;" / "&amp;Anmeldung!$J$42,"")</f>
        <v/>
      </c>
      <c r="CP29" t="str">
        <f>IF(AND(34&lt;&gt;21,Anmeldung!$D$42&lt;&gt;"",Anmeldung!$U$42="Ja",Anmeldung!$G$42=Anmeldung!$G$29,Anmeldung!$J$42=Anmeldung!$J$29),Anmeldung!$B$42&amp;": "&amp;Anmeldung!$D$42&amp;", "&amp;Anmeldung!$E$42&amp;" / "&amp;Anmeldung!$G$42&amp;" / "&amp;Anmeldung!$J$42,"")</f>
        <v/>
      </c>
      <c r="CS29" t="str">
        <f>IF(AND(35&lt;&gt;23,Anmeldung!$D$42&lt;&gt;"",Anmeldung!$G$42=Anmeldung!$G$30,Anmeldung!$J$42=Anmeldung!$J$30),Anmeldung!$B$42&amp;": "&amp;Anmeldung!$D$42&amp;", "&amp;Anmeldung!$E$42&amp;" / "&amp;Anmeldung!$G$42&amp;" / "&amp;Anmeldung!$J$42,"")</f>
        <v/>
      </c>
      <c r="CT29" t="str">
        <f>IF(AND(35&lt;&gt;23,Anmeldung!$D$42&lt;&gt;"",Anmeldung!$G$42=Anmeldung!$G$30,Anmeldung!$J$42=Anmeldung!$J$30,(Anmeldung!$B$42&amp;": "&amp;Anmeldung!$D$42&amp;", "&amp;Anmeldung!$E$42&amp;" / "&amp;Anmeldung!$G$42&amp;" / "&amp;Anmeldung!$J$42)&lt;&gt;Anmeldung!$P$30),Anmeldung!$B$42&amp;": "&amp;Anmeldung!$D$42&amp;", "&amp;Anmeldung!$E$42&amp;" / "&amp;Anmeldung!$G$42&amp;" / "&amp;Anmeldung!$J$42,"")</f>
        <v/>
      </c>
      <c r="CU29" t="str">
        <f>IF(AND(35&lt;&gt;23,Anmeldung!$D$42&lt;&gt;"",Anmeldung!$G$42=Anmeldung!$G$30,Anmeldung!$J$42=Anmeldung!$J$30,(Anmeldung!$B$42&amp;": "&amp;Anmeldung!$D$42&amp;", "&amp;Anmeldung!$E$42&amp;" / "&amp;Anmeldung!$G$42&amp;" / "&amp;Anmeldung!$J$42)&lt;&gt;Anmeldung!$O$30),Anmeldung!$B$42&amp;": "&amp;Anmeldung!$D$42&amp;", "&amp;Anmeldung!$E$42&amp;" / "&amp;Anmeldung!$G$42&amp;" / "&amp;Anmeldung!$J$42,"")</f>
        <v/>
      </c>
      <c r="CV29" t="str">
        <f>IF(AND(35&lt;&gt;23,Anmeldung!$D$42&lt;&gt;"",Anmeldung!$G$42&lt;&gt;Anmeldung!$G$30,(Anmeldung!$B$42&amp;": "&amp;Anmeldung!$D$42&amp;", "&amp;Anmeldung!$E$42&amp;" / "&amp;Anmeldung!$G$42&amp;" / "&amp;Anmeldung!$J$42)&lt;&gt;Anmeldung!$S$30),Anmeldung!$B$42&amp;": "&amp;Anmeldung!$D$42&amp;", "&amp;Anmeldung!$E$42&amp;" / "&amp;Anmeldung!$G$42&amp;" / "&amp;Anmeldung!$J$42,"")</f>
        <v/>
      </c>
      <c r="CW29" t="str">
        <f>IF(AND(35&lt;&gt;23,Anmeldung!$D$42&lt;&gt;"",(Anmeldung!$B$42&amp;": "&amp;Anmeldung!$D$42&amp;", "&amp;Anmeldung!$E$42&amp;" / "&amp;Anmeldung!$G$42&amp;" / "&amp;Anmeldung!$J$42)&lt;&gt;Anmeldung!$R$30),Anmeldung!$B$42&amp;": "&amp;Anmeldung!$D$42&amp;", "&amp;Anmeldung!$E$42&amp;" / "&amp;Anmeldung!$G$42&amp;" / "&amp;Anmeldung!$J$42,"")</f>
        <v/>
      </c>
      <c r="CX29" t="str">
        <f>IF(AND(34&lt;&gt;22,Anmeldung!$D$42&lt;&gt;"",Anmeldung!$U$42="Ja",Anmeldung!$G$42=Anmeldung!$G$30,Anmeldung!$J$42=Anmeldung!$J$30),Anmeldung!$B$42&amp;": "&amp;Anmeldung!$D$42&amp;", "&amp;Anmeldung!$E$42&amp;" / "&amp;Anmeldung!$G$42&amp;" / "&amp;Anmeldung!$J$42,"")</f>
        <v/>
      </c>
      <c r="DA29" t="str">
        <f>IF(AND(35&lt;&gt;24,Anmeldung!$D$42&lt;&gt;"",Anmeldung!$G$42=Anmeldung!$G$31,Anmeldung!$J$42=Anmeldung!$J$31),Anmeldung!$B$42&amp;": "&amp;Anmeldung!$D$42&amp;", "&amp;Anmeldung!$E$42&amp;" / "&amp;Anmeldung!$G$42&amp;" / "&amp;Anmeldung!$J$42,"")</f>
        <v/>
      </c>
      <c r="DB29" t="str">
        <f>IF(AND(35&lt;&gt;24,Anmeldung!$D$42&lt;&gt;"",Anmeldung!$G$42=Anmeldung!$G$31,Anmeldung!$J$42=Anmeldung!$J$31,(Anmeldung!$B$42&amp;": "&amp;Anmeldung!$D$42&amp;", "&amp;Anmeldung!$E$42&amp;" / "&amp;Anmeldung!$G$42&amp;" / "&amp;Anmeldung!$J$42)&lt;&gt;Anmeldung!$P$31),Anmeldung!$B$42&amp;": "&amp;Anmeldung!$D$42&amp;", "&amp;Anmeldung!$E$42&amp;" / "&amp;Anmeldung!$G$42&amp;" / "&amp;Anmeldung!$J$42,"")</f>
        <v/>
      </c>
      <c r="DC29" t="str">
        <f>IF(AND(35&lt;&gt;24,Anmeldung!$D$42&lt;&gt;"",Anmeldung!$G$42=Anmeldung!$G$31,Anmeldung!$J$42=Anmeldung!$J$31,(Anmeldung!$B$42&amp;": "&amp;Anmeldung!$D$42&amp;", "&amp;Anmeldung!$E$42&amp;" / "&amp;Anmeldung!$G$42&amp;" / "&amp;Anmeldung!$J$42)&lt;&gt;Anmeldung!$O$31),Anmeldung!$B$42&amp;": "&amp;Anmeldung!$D$42&amp;", "&amp;Anmeldung!$E$42&amp;" / "&amp;Anmeldung!$G$42&amp;" / "&amp;Anmeldung!$J$42,"")</f>
        <v/>
      </c>
      <c r="DD29" t="str">
        <f>IF(AND(35&lt;&gt;24,Anmeldung!$D$42&lt;&gt;"",Anmeldung!$G$42&lt;&gt;Anmeldung!$G$31,(Anmeldung!$B$42&amp;": "&amp;Anmeldung!$D$42&amp;", "&amp;Anmeldung!$E$42&amp;" / "&amp;Anmeldung!$G$42&amp;" / "&amp;Anmeldung!$J$42)&lt;&gt;Anmeldung!$S$31),Anmeldung!$B$42&amp;": "&amp;Anmeldung!$D$42&amp;", "&amp;Anmeldung!$E$42&amp;" / "&amp;Anmeldung!$G$42&amp;" / "&amp;Anmeldung!$J$42,"")</f>
        <v/>
      </c>
      <c r="DE29" t="str">
        <f>IF(AND(35&lt;&gt;24,Anmeldung!$D$42&lt;&gt;"",(Anmeldung!$B$42&amp;": "&amp;Anmeldung!$D$42&amp;", "&amp;Anmeldung!$E$42&amp;" / "&amp;Anmeldung!$G$42&amp;" / "&amp;Anmeldung!$J$42)&lt;&gt;Anmeldung!$R$31),Anmeldung!$B$42&amp;": "&amp;Anmeldung!$D$42&amp;", "&amp;Anmeldung!$E$42&amp;" / "&amp;Anmeldung!$G$42&amp;" / "&amp;Anmeldung!$J$42,"")</f>
        <v/>
      </c>
      <c r="DF29" t="str">
        <f>IF(AND(34&lt;&gt;23,Anmeldung!$D$42&lt;&gt;"",Anmeldung!$U$42="Ja",Anmeldung!$G$42=Anmeldung!$G$31,Anmeldung!$J$42=Anmeldung!$J$31),Anmeldung!$B$42&amp;": "&amp;Anmeldung!$D$42&amp;", "&amp;Anmeldung!$E$42&amp;" / "&amp;Anmeldung!$G$42&amp;" / "&amp;Anmeldung!$J$42,"")</f>
        <v/>
      </c>
      <c r="DI29" t="str">
        <f>IF(AND(35&lt;&gt;25,Anmeldung!$D$42&lt;&gt;"",Anmeldung!$G$42=Anmeldung!$G$32,Anmeldung!$J$42=Anmeldung!$J$32),Anmeldung!$B$42&amp;": "&amp;Anmeldung!$D$42&amp;", "&amp;Anmeldung!$E$42&amp;" / "&amp;Anmeldung!$G$42&amp;" / "&amp;Anmeldung!$J$42,"")</f>
        <v/>
      </c>
      <c r="DJ29" t="str">
        <f>IF(AND(35&lt;&gt;25,Anmeldung!$D$42&lt;&gt;"",Anmeldung!$G$42=Anmeldung!$G$32,Anmeldung!$J$42=Anmeldung!$J$32,(Anmeldung!$B$42&amp;": "&amp;Anmeldung!$D$42&amp;", "&amp;Anmeldung!$E$42&amp;" / "&amp;Anmeldung!$G$42&amp;" / "&amp;Anmeldung!$J$42)&lt;&gt;Anmeldung!$P$32),Anmeldung!$B$42&amp;": "&amp;Anmeldung!$D$42&amp;", "&amp;Anmeldung!$E$42&amp;" / "&amp;Anmeldung!$G$42&amp;" / "&amp;Anmeldung!$J$42,"")</f>
        <v/>
      </c>
      <c r="DK29" t="str">
        <f>IF(AND(35&lt;&gt;25,Anmeldung!$D$42&lt;&gt;"",Anmeldung!$G$42=Anmeldung!$G$32,Anmeldung!$J$42=Anmeldung!$J$32,(Anmeldung!$B$42&amp;": "&amp;Anmeldung!$D$42&amp;", "&amp;Anmeldung!$E$42&amp;" / "&amp;Anmeldung!$G$42&amp;" / "&amp;Anmeldung!$J$42)&lt;&gt;Anmeldung!$O$32),Anmeldung!$B$42&amp;": "&amp;Anmeldung!$D$42&amp;", "&amp;Anmeldung!$E$42&amp;" / "&amp;Anmeldung!$G$42&amp;" / "&amp;Anmeldung!$J$42,"")</f>
        <v/>
      </c>
      <c r="DL29" t="str">
        <f>IF(AND(35&lt;&gt;25,Anmeldung!$D$42&lt;&gt;"",Anmeldung!$G$42&lt;&gt;Anmeldung!$G$32,(Anmeldung!$B$42&amp;": "&amp;Anmeldung!$D$42&amp;", "&amp;Anmeldung!$E$42&amp;" / "&amp;Anmeldung!$G$42&amp;" / "&amp;Anmeldung!$J$42)&lt;&gt;Anmeldung!$S$32),Anmeldung!$B$42&amp;": "&amp;Anmeldung!$D$42&amp;", "&amp;Anmeldung!$E$42&amp;" / "&amp;Anmeldung!$G$42&amp;" / "&amp;Anmeldung!$J$42,"")</f>
        <v/>
      </c>
      <c r="DM29" t="str">
        <f>IF(AND(35&lt;&gt;25,Anmeldung!$D$42&lt;&gt;"",(Anmeldung!$B$42&amp;": "&amp;Anmeldung!$D$42&amp;", "&amp;Anmeldung!$E$42&amp;" / "&amp;Anmeldung!$G$42&amp;" / "&amp;Anmeldung!$J$42)&lt;&gt;Anmeldung!$R$32),Anmeldung!$B$42&amp;": "&amp;Anmeldung!$D$42&amp;", "&amp;Anmeldung!$E$42&amp;" / "&amp;Anmeldung!$G$42&amp;" / "&amp;Anmeldung!$J$42,"")</f>
        <v/>
      </c>
      <c r="DN29" t="str">
        <f>IF(AND(34&lt;&gt;24,Anmeldung!$D$42&lt;&gt;"",Anmeldung!$U$42="Ja",Anmeldung!$G$42=Anmeldung!$G$32,Anmeldung!$J$42=Anmeldung!$J$32),Anmeldung!$B$42&amp;": "&amp;Anmeldung!$D$42&amp;", "&amp;Anmeldung!$E$42&amp;" / "&amp;Anmeldung!$G$42&amp;" / "&amp;Anmeldung!$J$42,"")</f>
        <v/>
      </c>
      <c r="DQ29" t="str">
        <f>IF(AND(35&lt;&gt;26,Anmeldung!$D$42&lt;&gt;"",Anmeldung!$G$42=Anmeldung!$G$33,Anmeldung!$J$42=Anmeldung!$J$33),Anmeldung!$B$42&amp;": "&amp;Anmeldung!$D$42&amp;", "&amp;Anmeldung!$E$42&amp;" / "&amp;Anmeldung!$G$42&amp;" / "&amp;Anmeldung!$J$42,"")</f>
        <v/>
      </c>
      <c r="DR29" t="str">
        <f>IF(AND(35&lt;&gt;26,Anmeldung!$D$42&lt;&gt;"",Anmeldung!$G$42=Anmeldung!$G$33,Anmeldung!$J$42=Anmeldung!$J$33,(Anmeldung!$B$42&amp;": "&amp;Anmeldung!$D$42&amp;", "&amp;Anmeldung!$E$42&amp;" / "&amp;Anmeldung!$G$42&amp;" / "&amp;Anmeldung!$J$42)&lt;&gt;Anmeldung!$P$33),Anmeldung!$B$42&amp;": "&amp;Anmeldung!$D$42&amp;", "&amp;Anmeldung!$E$42&amp;" / "&amp;Anmeldung!$G$42&amp;" / "&amp;Anmeldung!$J$42,"")</f>
        <v/>
      </c>
      <c r="DS29" t="str">
        <f>IF(AND(35&lt;&gt;26,Anmeldung!$D$42&lt;&gt;"",Anmeldung!$G$42=Anmeldung!$G$33,Anmeldung!$J$42=Anmeldung!$J$33,(Anmeldung!$B$42&amp;": "&amp;Anmeldung!$D$42&amp;", "&amp;Anmeldung!$E$42&amp;" / "&amp;Anmeldung!$G$42&amp;" / "&amp;Anmeldung!$J$42)&lt;&gt;Anmeldung!$O$33),Anmeldung!$B$42&amp;": "&amp;Anmeldung!$D$42&amp;", "&amp;Anmeldung!$E$42&amp;" / "&amp;Anmeldung!$G$42&amp;" / "&amp;Anmeldung!$J$42,"")</f>
        <v/>
      </c>
      <c r="DT29" t="str">
        <f>IF(AND(35&lt;&gt;26,Anmeldung!$D$42&lt;&gt;"",Anmeldung!$G$42&lt;&gt;Anmeldung!$G$33,(Anmeldung!$B$42&amp;": "&amp;Anmeldung!$D$42&amp;", "&amp;Anmeldung!$E$42&amp;" / "&amp;Anmeldung!$G$42&amp;" / "&amp;Anmeldung!$J$42)&lt;&gt;Anmeldung!$S$33),Anmeldung!$B$42&amp;": "&amp;Anmeldung!$D$42&amp;", "&amp;Anmeldung!$E$42&amp;" / "&amp;Anmeldung!$G$42&amp;" / "&amp;Anmeldung!$J$42,"")</f>
        <v/>
      </c>
      <c r="DU29" t="str">
        <f>IF(AND(35&lt;&gt;26,Anmeldung!$D$42&lt;&gt;"",(Anmeldung!$B$42&amp;": "&amp;Anmeldung!$D$42&amp;", "&amp;Anmeldung!$E$42&amp;" / "&amp;Anmeldung!$G$42&amp;" / "&amp;Anmeldung!$J$42)&lt;&gt;Anmeldung!$R$33),Anmeldung!$B$42&amp;": "&amp;Anmeldung!$D$42&amp;", "&amp;Anmeldung!$E$42&amp;" / "&amp;Anmeldung!$G$42&amp;" / "&amp;Anmeldung!$J$42,"")</f>
        <v/>
      </c>
      <c r="DV29" t="str">
        <f>IF(AND(34&lt;&gt;25,Anmeldung!$D$42&lt;&gt;"",Anmeldung!$U$42="Ja",Anmeldung!$G$42=Anmeldung!$G$33,Anmeldung!$J$42=Anmeldung!$J$33),Anmeldung!$B$42&amp;": "&amp;Anmeldung!$D$42&amp;", "&amp;Anmeldung!$E$42&amp;" / "&amp;Anmeldung!$G$42&amp;" / "&amp;Anmeldung!$J$42,"")</f>
        <v/>
      </c>
      <c r="DY29" t="str">
        <f>IF(AND(35&lt;&gt;27,Anmeldung!$D$42&lt;&gt;"",Anmeldung!$G$42=Anmeldung!$G$34,Anmeldung!$J$42=Anmeldung!$J$34),Anmeldung!$B$42&amp;": "&amp;Anmeldung!$D$42&amp;", "&amp;Anmeldung!$E$42&amp;" / "&amp;Anmeldung!$G$42&amp;" / "&amp;Anmeldung!$J$42,"")</f>
        <v/>
      </c>
      <c r="DZ29" t="str">
        <f>IF(AND(35&lt;&gt;27,Anmeldung!$D$42&lt;&gt;"",Anmeldung!$G$42=Anmeldung!$G$34,Anmeldung!$J$42=Anmeldung!$J$34,(Anmeldung!$B$42&amp;": "&amp;Anmeldung!$D$42&amp;", "&amp;Anmeldung!$E$42&amp;" / "&amp;Anmeldung!$G$42&amp;" / "&amp;Anmeldung!$J$42)&lt;&gt;Anmeldung!$P$34),Anmeldung!$B$42&amp;": "&amp;Anmeldung!$D$42&amp;", "&amp;Anmeldung!$E$42&amp;" / "&amp;Anmeldung!$G$42&amp;" / "&amp;Anmeldung!$J$42,"")</f>
        <v/>
      </c>
      <c r="EA29" t="str">
        <f>IF(AND(35&lt;&gt;27,Anmeldung!$D$42&lt;&gt;"",Anmeldung!$G$42=Anmeldung!$G$34,Anmeldung!$J$42=Anmeldung!$J$34,(Anmeldung!$B$42&amp;": "&amp;Anmeldung!$D$42&amp;", "&amp;Anmeldung!$E$42&amp;" / "&amp;Anmeldung!$G$42&amp;" / "&amp;Anmeldung!$J$42)&lt;&gt;Anmeldung!$O$34),Anmeldung!$B$42&amp;": "&amp;Anmeldung!$D$42&amp;", "&amp;Anmeldung!$E$42&amp;" / "&amp;Anmeldung!$G$42&amp;" / "&amp;Anmeldung!$J$42,"")</f>
        <v/>
      </c>
      <c r="EB29" t="str">
        <f>IF(AND(35&lt;&gt;27,Anmeldung!$D$42&lt;&gt;"",Anmeldung!$G$42&lt;&gt;Anmeldung!$G$34,(Anmeldung!$B$42&amp;": "&amp;Anmeldung!$D$42&amp;", "&amp;Anmeldung!$E$42&amp;" / "&amp;Anmeldung!$G$42&amp;" / "&amp;Anmeldung!$J$42)&lt;&gt;Anmeldung!$S$34),Anmeldung!$B$42&amp;": "&amp;Anmeldung!$D$42&amp;", "&amp;Anmeldung!$E$42&amp;" / "&amp;Anmeldung!$G$42&amp;" / "&amp;Anmeldung!$J$42,"")</f>
        <v/>
      </c>
      <c r="EC29" t="str">
        <f>IF(AND(35&lt;&gt;27,Anmeldung!$D$42&lt;&gt;"",(Anmeldung!$B$42&amp;": "&amp;Anmeldung!$D$42&amp;", "&amp;Anmeldung!$E$42&amp;" / "&amp;Anmeldung!$G$42&amp;" / "&amp;Anmeldung!$J$42)&lt;&gt;Anmeldung!$R$34),Anmeldung!$B$42&amp;": "&amp;Anmeldung!$D$42&amp;", "&amp;Anmeldung!$E$42&amp;" / "&amp;Anmeldung!$G$42&amp;" / "&amp;Anmeldung!$J$42,"")</f>
        <v/>
      </c>
      <c r="ED29" t="str">
        <f>IF(AND(34&lt;&gt;26,Anmeldung!$D$42&lt;&gt;"",Anmeldung!$U$42="Ja",Anmeldung!$G$42=Anmeldung!$G$34,Anmeldung!$J$42=Anmeldung!$J$34),Anmeldung!$B$42&amp;": "&amp;Anmeldung!$D$42&amp;", "&amp;Anmeldung!$E$42&amp;" / "&amp;Anmeldung!$G$42&amp;" / "&amp;Anmeldung!$J$42,"")</f>
        <v/>
      </c>
      <c r="EG29" t="str">
        <f>IF(AND(35&lt;&gt;28,Anmeldung!$D$42&lt;&gt;"",Anmeldung!$G$42=Anmeldung!$G$35,Anmeldung!$J$42=Anmeldung!$J$35),Anmeldung!$B$42&amp;": "&amp;Anmeldung!$D$42&amp;", "&amp;Anmeldung!$E$42&amp;" / "&amp;Anmeldung!$G$42&amp;" / "&amp;Anmeldung!$J$42,"")</f>
        <v/>
      </c>
      <c r="EH29" t="str">
        <f>IF(AND(35&lt;&gt;28,Anmeldung!$D$42&lt;&gt;"",Anmeldung!$G$42=Anmeldung!$G$35,Anmeldung!$J$42=Anmeldung!$J$35,(Anmeldung!$B$42&amp;": "&amp;Anmeldung!$D$42&amp;", "&amp;Anmeldung!$E$42&amp;" / "&amp;Anmeldung!$G$42&amp;" / "&amp;Anmeldung!$J$42)&lt;&gt;Anmeldung!$P$35),Anmeldung!$B$42&amp;": "&amp;Anmeldung!$D$42&amp;", "&amp;Anmeldung!$E$42&amp;" / "&amp;Anmeldung!$G$42&amp;" / "&amp;Anmeldung!$J$42,"")</f>
        <v/>
      </c>
      <c r="EI29" t="str">
        <f>IF(AND(35&lt;&gt;28,Anmeldung!$D$42&lt;&gt;"",Anmeldung!$G$42=Anmeldung!$G$35,Anmeldung!$J$42=Anmeldung!$J$35,(Anmeldung!$B$42&amp;": "&amp;Anmeldung!$D$42&amp;", "&amp;Anmeldung!$E$42&amp;" / "&amp;Anmeldung!$G$42&amp;" / "&amp;Anmeldung!$J$42)&lt;&gt;Anmeldung!$O$35),Anmeldung!$B$42&amp;": "&amp;Anmeldung!$D$42&amp;", "&amp;Anmeldung!$E$42&amp;" / "&amp;Anmeldung!$G$42&amp;" / "&amp;Anmeldung!$J$42,"")</f>
        <v/>
      </c>
      <c r="EJ29" t="str">
        <f>IF(AND(35&lt;&gt;28,Anmeldung!$D$42&lt;&gt;"",Anmeldung!$G$42&lt;&gt;Anmeldung!$G$35,(Anmeldung!$B$42&amp;": "&amp;Anmeldung!$D$42&amp;", "&amp;Anmeldung!$E$42&amp;" / "&amp;Anmeldung!$G$42&amp;" / "&amp;Anmeldung!$J$42)&lt;&gt;Anmeldung!$S$35),Anmeldung!$B$42&amp;": "&amp;Anmeldung!$D$42&amp;", "&amp;Anmeldung!$E$42&amp;" / "&amp;Anmeldung!$G$42&amp;" / "&amp;Anmeldung!$J$42,"")</f>
        <v/>
      </c>
      <c r="EK29" t="str">
        <f>IF(AND(35&lt;&gt;28,Anmeldung!$D$42&lt;&gt;"",(Anmeldung!$B$42&amp;": "&amp;Anmeldung!$D$42&amp;", "&amp;Anmeldung!$E$42&amp;" / "&amp;Anmeldung!$G$42&amp;" / "&amp;Anmeldung!$J$42)&lt;&gt;Anmeldung!$R$35),Anmeldung!$B$42&amp;": "&amp;Anmeldung!$D$42&amp;", "&amp;Anmeldung!$E$42&amp;" / "&amp;Anmeldung!$G$42&amp;" / "&amp;Anmeldung!$J$42,"")</f>
        <v/>
      </c>
      <c r="EL29" t="str">
        <f>IF(AND(34&lt;&gt;27,Anmeldung!$D$42&lt;&gt;"",Anmeldung!$U$42="Ja",Anmeldung!$G$42=Anmeldung!$G$35,Anmeldung!$J$42=Anmeldung!$J$35),Anmeldung!$B$42&amp;": "&amp;Anmeldung!$D$42&amp;", "&amp;Anmeldung!$E$42&amp;" / "&amp;Anmeldung!$G$42&amp;" / "&amp;Anmeldung!$J$42,"")</f>
        <v/>
      </c>
      <c r="EO29" t="str">
        <f>IF(AND(35&lt;&gt;29,Anmeldung!$D$42&lt;&gt;"",Anmeldung!$G$42=Anmeldung!$G$36,Anmeldung!$J$42=Anmeldung!$J$36),Anmeldung!$B$42&amp;": "&amp;Anmeldung!$D$42&amp;", "&amp;Anmeldung!$E$42&amp;" / "&amp;Anmeldung!$G$42&amp;" / "&amp;Anmeldung!$J$42,"")</f>
        <v/>
      </c>
      <c r="EP29" t="str">
        <f>IF(AND(35&lt;&gt;29,Anmeldung!$D$42&lt;&gt;"",Anmeldung!$G$42=Anmeldung!$G$36,Anmeldung!$J$42=Anmeldung!$J$36,(Anmeldung!$B$42&amp;": "&amp;Anmeldung!$D$42&amp;", "&amp;Anmeldung!$E$42&amp;" / "&amp;Anmeldung!$G$42&amp;" / "&amp;Anmeldung!$J$42)&lt;&gt;Anmeldung!$P$36),Anmeldung!$B$42&amp;": "&amp;Anmeldung!$D$42&amp;", "&amp;Anmeldung!$E$42&amp;" / "&amp;Anmeldung!$G$42&amp;" / "&amp;Anmeldung!$J$42,"")</f>
        <v/>
      </c>
      <c r="EQ29" t="str">
        <f>IF(AND(35&lt;&gt;29,Anmeldung!$D$42&lt;&gt;"",Anmeldung!$G$42=Anmeldung!$G$36,Anmeldung!$J$42=Anmeldung!$J$36,(Anmeldung!$B$42&amp;": "&amp;Anmeldung!$D$42&amp;", "&amp;Anmeldung!$E$42&amp;" / "&amp;Anmeldung!$G$42&amp;" / "&amp;Anmeldung!$J$42)&lt;&gt;Anmeldung!$O$36),Anmeldung!$B$42&amp;": "&amp;Anmeldung!$D$42&amp;", "&amp;Anmeldung!$E$42&amp;" / "&amp;Anmeldung!$G$42&amp;" / "&amp;Anmeldung!$J$42,"")</f>
        <v/>
      </c>
      <c r="ER29" t="str">
        <f>IF(AND(35&lt;&gt;29,Anmeldung!$D$42&lt;&gt;"",Anmeldung!$G$42&lt;&gt;Anmeldung!$G$36,(Anmeldung!$B$42&amp;": "&amp;Anmeldung!$D$42&amp;", "&amp;Anmeldung!$E$42&amp;" / "&amp;Anmeldung!$G$42&amp;" / "&amp;Anmeldung!$J$42)&lt;&gt;Anmeldung!$S$36),Anmeldung!$B$42&amp;": "&amp;Anmeldung!$D$42&amp;", "&amp;Anmeldung!$E$42&amp;" / "&amp;Anmeldung!$G$42&amp;" / "&amp;Anmeldung!$J$42,"")</f>
        <v/>
      </c>
      <c r="ES29" t="str">
        <f>IF(AND(35&lt;&gt;29,Anmeldung!$D$42&lt;&gt;"",(Anmeldung!$B$42&amp;": "&amp;Anmeldung!$D$42&amp;", "&amp;Anmeldung!$E$42&amp;" / "&amp;Anmeldung!$G$42&amp;" / "&amp;Anmeldung!$J$42)&lt;&gt;Anmeldung!$R$36),Anmeldung!$B$42&amp;": "&amp;Anmeldung!$D$42&amp;", "&amp;Anmeldung!$E$42&amp;" / "&amp;Anmeldung!$G$42&amp;" / "&amp;Anmeldung!$J$42,"")</f>
        <v/>
      </c>
      <c r="ET29" t="str">
        <f>IF(AND(34&lt;&gt;28,Anmeldung!$D$42&lt;&gt;"",Anmeldung!$U$42="Ja",Anmeldung!$G$42=Anmeldung!$G$36,Anmeldung!$J$42=Anmeldung!$J$36),Anmeldung!$B$42&amp;": "&amp;Anmeldung!$D$42&amp;", "&amp;Anmeldung!$E$42&amp;" / "&amp;Anmeldung!$G$42&amp;" / "&amp;Anmeldung!$J$42,"")</f>
        <v/>
      </c>
      <c r="EW29" t="str">
        <f>IF(AND(35&lt;&gt;30,Anmeldung!$D$42&lt;&gt;"",Anmeldung!$G$42=Anmeldung!$G$37,Anmeldung!$J$42=Anmeldung!$J$37),Anmeldung!$B$42&amp;": "&amp;Anmeldung!$D$42&amp;", "&amp;Anmeldung!$E$42&amp;" / "&amp;Anmeldung!$G$42&amp;" / "&amp;Anmeldung!$J$42,"")</f>
        <v/>
      </c>
      <c r="EX29" t="str">
        <f>IF(AND(35&lt;&gt;30,Anmeldung!$D$42&lt;&gt;"",Anmeldung!$G$42=Anmeldung!$G$37,Anmeldung!$J$42=Anmeldung!$J$37,(Anmeldung!$B$42&amp;": "&amp;Anmeldung!$D$42&amp;", "&amp;Anmeldung!$E$42&amp;" / "&amp;Anmeldung!$G$42&amp;" / "&amp;Anmeldung!$J$42)&lt;&gt;Anmeldung!$P$37),Anmeldung!$B$42&amp;": "&amp;Anmeldung!$D$42&amp;", "&amp;Anmeldung!$E$42&amp;" / "&amp;Anmeldung!$G$42&amp;" / "&amp;Anmeldung!$J$42,"")</f>
        <v/>
      </c>
      <c r="EY29" t="str">
        <f>IF(AND(35&lt;&gt;30,Anmeldung!$D$42&lt;&gt;"",Anmeldung!$G$42=Anmeldung!$G$37,Anmeldung!$J$42=Anmeldung!$J$37,(Anmeldung!$B$42&amp;": "&amp;Anmeldung!$D$42&amp;", "&amp;Anmeldung!$E$42&amp;" / "&amp;Anmeldung!$G$42&amp;" / "&amp;Anmeldung!$J$42)&lt;&gt;Anmeldung!$O$37),Anmeldung!$B$42&amp;": "&amp;Anmeldung!$D$42&amp;", "&amp;Anmeldung!$E$42&amp;" / "&amp;Anmeldung!$G$42&amp;" / "&amp;Anmeldung!$J$42,"")</f>
        <v/>
      </c>
      <c r="EZ29" t="str">
        <f>IF(AND(35&lt;&gt;30,Anmeldung!$D$42&lt;&gt;"",Anmeldung!$G$42&lt;&gt;Anmeldung!$G$37,(Anmeldung!$B$42&amp;": "&amp;Anmeldung!$D$42&amp;", "&amp;Anmeldung!$E$42&amp;" / "&amp;Anmeldung!$G$42&amp;" / "&amp;Anmeldung!$J$42)&lt;&gt;Anmeldung!$S$37),Anmeldung!$B$42&amp;": "&amp;Anmeldung!$D$42&amp;", "&amp;Anmeldung!$E$42&amp;" / "&amp;Anmeldung!$G$42&amp;" / "&amp;Anmeldung!$J$42,"")</f>
        <v/>
      </c>
      <c r="FA29" t="str">
        <f>IF(AND(35&lt;&gt;30,Anmeldung!$D$42&lt;&gt;"",(Anmeldung!$B$42&amp;": "&amp;Anmeldung!$D$42&amp;", "&amp;Anmeldung!$E$42&amp;" / "&amp;Anmeldung!$G$42&amp;" / "&amp;Anmeldung!$J$42)&lt;&gt;Anmeldung!$R$37),Anmeldung!$B$42&amp;": "&amp;Anmeldung!$D$42&amp;", "&amp;Anmeldung!$E$42&amp;" / "&amp;Anmeldung!$G$42&amp;" / "&amp;Anmeldung!$J$42,"")</f>
        <v/>
      </c>
      <c r="FB29" t="str">
        <f>IF(AND(34&lt;&gt;29,Anmeldung!$D$42&lt;&gt;"",Anmeldung!$U$42="Ja",Anmeldung!$G$42=Anmeldung!$G$37,Anmeldung!$J$42=Anmeldung!$J$37),Anmeldung!$B$42&amp;": "&amp;Anmeldung!$D$42&amp;", "&amp;Anmeldung!$E$42&amp;" / "&amp;Anmeldung!$G$42&amp;" / "&amp;Anmeldung!$J$42,"")</f>
        <v/>
      </c>
      <c r="FE29" t="str">
        <f>IF(AND(35&lt;&gt;31,Anmeldung!$D$42&lt;&gt;"",Anmeldung!$G$42=Anmeldung!$G$38,Anmeldung!$J$42=Anmeldung!$J$38),Anmeldung!$B$42&amp;": "&amp;Anmeldung!$D$42&amp;", "&amp;Anmeldung!$E$42&amp;" / "&amp;Anmeldung!$G$42&amp;" / "&amp;Anmeldung!$J$42,"")</f>
        <v/>
      </c>
      <c r="FF29" t="str">
        <f>IF(AND(35&lt;&gt;31,Anmeldung!$D$42&lt;&gt;"",Anmeldung!$G$42=Anmeldung!$G$38,Anmeldung!$J$42=Anmeldung!$J$38,(Anmeldung!$B$42&amp;": "&amp;Anmeldung!$D$42&amp;", "&amp;Anmeldung!$E$42&amp;" / "&amp;Anmeldung!$G$42&amp;" / "&amp;Anmeldung!$J$42)&lt;&gt;Anmeldung!$P$38),Anmeldung!$B$42&amp;": "&amp;Anmeldung!$D$42&amp;", "&amp;Anmeldung!$E$42&amp;" / "&amp;Anmeldung!$G$42&amp;" / "&amp;Anmeldung!$J$42,"")</f>
        <v/>
      </c>
      <c r="FG29" t="str">
        <f>IF(AND(35&lt;&gt;31,Anmeldung!$D$42&lt;&gt;"",Anmeldung!$G$42=Anmeldung!$G$38,Anmeldung!$J$42=Anmeldung!$J$38,(Anmeldung!$B$42&amp;": "&amp;Anmeldung!$D$42&amp;", "&amp;Anmeldung!$E$42&amp;" / "&amp;Anmeldung!$G$42&amp;" / "&amp;Anmeldung!$J$42)&lt;&gt;Anmeldung!$O$38),Anmeldung!$B$42&amp;": "&amp;Anmeldung!$D$42&amp;", "&amp;Anmeldung!$E$42&amp;" / "&amp;Anmeldung!$G$42&amp;" / "&amp;Anmeldung!$J$42,"")</f>
        <v/>
      </c>
      <c r="FH29" t="str">
        <f>IF(AND(35&lt;&gt;31,Anmeldung!$D$42&lt;&gt;"",Anmeldung!$G$42&lt;&gt;Anmeldung!$G$38,(Anmeldung!$B$42&amp;": "&amp;Anmeldung!$D$42&amp;", "&amp;Anmeldung!$E$42&amp;" / "&amp;Anmeldung!$G$42&amp;" / "&amp;Anmeldung!$J$42)&lt;&gt;Anmeldung!$S$38),Anmeldung!$B$42&amp;": "&amp;Anmeldung!$D$42&amp;", "&amp;Anmeldung!$E$42&amp;" / "&amp;Anmeldung!$G$42&amp;" / "&amp;Anmeldung!$J$42,"")</f>
        <v/>
      </c>
      <c r="FI29" t="str">
        <f>IF(AND(35&lt;&gt;31,Anmeldung!$D$42&lt;&gt;"",(Anmeldung!$B$42&amp;": "&amp;Anmeldung!$D$42&amp;", "&amp;Anmeldung!$E$42&amp;" / "&amp;Anmeldung!$G$42&amp;" / "&amp;Anmeldung!$J$42)&lt;&gt;Anmeldung!$R$38),Anmeldung!$B$42&amp;": "&amp;Anmeldung!$D$42&amp;", "&amp;Anmeldung!$E$42&amp;" / "&amp;Anmeldung!$G$42&amp;" / "&amp;Anmeldung!$J$42,"")</f>
        <v/>
      </c>
      <c r="FJ29" t="str">
        <f>IF(AND(34&lt;&gt;30,Anmeldung!$D$42&lt;&gt;"",Anmeldung!$U$42="Ja",Anmeldung!$G$42=Anmeldung!$G$38,Anmeldung!$J$42=Anmeldung!$J$38),Anmeldung!$B$42&amp;": "&amp;Anmeldung!$D$42&amp;", "&amp;Anmeldung!$E$42&amp;" / "&amp;Anmeldung!$G$42&amp;" / "&amp;Anmeldung!$J$42,"")</f>
        <v/>
      </c>
      <c r="FM29" t="str">
        <f>IF(AND(35&lt;&gt;32,Anmeldung!$D$42&lt;&gt;"",Anmeldung!$G$42=Anmeldung!$G$39,Anmeldung!$J$42=Anmeldung!$J$39),Anmeldung!$B$42&amp;": "&amp;Anmeldung!$D$42&amp;", "&amp;Anmeldung!$E$42&amp;" / "&amp;Anmeldung!$G$42&amp;" / "&amp;Anmeldung!$J$42,"")</f>
        <v/>
      </c>
      <c r="FN29" t="str">
        <f>IF(AND(35&lt;&gt;32,Anmeldung!$D$42&lt;&gt;"",Anmeldung!$G$42=Anmeldung!$G$39,Anmeldung!$J$42=Anmeldung!$J$39,(Anmeldung!$B$42&amp;": "&amp;Anmeldung!$D$42&amp;", "&amp;Anmeldung!$E$42&amp;" / "&amp;Anmeldung!$G$42&amp;" / "&amp;Anmeldung!$J$42)&lt;&gt;Anmeldung!$P$39),Anmeldung!$B$42&amp;": "&amp;Anmeldung!$D$42&amp;", "&amp;Anmeldung!$E$42&amp;" / "&amp;Anmeldung!$G$42&amp;" / "&amp;Anmeldung!$J$42,"")</f>
        <v/>
      </c>
      <c r="FO29" t="str">
        <f>IF(AND(35&lt;&gt;32,Anmeldung!$D$42&lt;&gt;"",Anmeldung!$G$42=Anmeldung!$G$39,Anmeldung!$J$42=Anmeldung!$J$39,(Anmeldung!$B$42&amp;": "&amp;Anmeldung!$D$42&amp;", "&amp;Anmeldung!$E$42&amp;" / "&amp;Anmeldung!$G$42&amp;" / "&amp;Anmeldung!$J$42)&lt;&gt;Anmeldung!$O$39),Anmeldung!$B$42&amp;": "&amp;Anmeldung!$D$42&amp;", "&amp;Anmeldung!$E$42&amp;" / "&amp;Anmeldung!$G$42&amp;" / "&amp;Anmeldung!$J$42,"")</f>
        <v/>
      </c>
      <c r="FP29" t="str">
        <f>IF(AND(35&lt;&gt;32,Anmeldung!$D$42&lt;&gt;"",Anmeldung!$G$42&lt;&gt;Anmeldung!$G$39,(Anmeldung!$B$42&amp;": "&amp;Anmeldung!$D$42&amp;", "&amp;Anmeldung!$E$42&amp;" / "&amp;Anmeldung!$G$42&amp;" / "&amp;Anmeldung!$J$42)&lt;&gt;Anmeldung!$S$39),Anmeldung!$B$42&amp;": "&amp;Anmeldung!$D$42&amp;", "&amp;Anmeldung!$E$42&amp;" / "&amp;Anmeldung!$G$42&amp;" / "&amp;Anmeldung!$J$42,"")</f>
        <v/>
      </c>
      <c r="FQ29" t="str">
        <f>IF(AND(35&lt;&gt;32,Anmeldung!$D$42&lt;&gt;"",(Anmeldung!$B$42&amp;": "&amp;Anmeldung!$D$42&amp;", "&amp;Anmeldung!$E$42&amp;" / "&amp;Anmeldung!$G$42&amp;" / "&amp;Anmeldung!$J$42)&lt;&gt;Anmeldung!$R$39),Anmeldung!$B$42&amp;": "&amp;Anmeldung!$D$42&amp;", "&amp;Anmeldung!$E$42&amp;" / "&amp;Anmeldung!$G$42&amp;" / "&amp;Anmeldung!$J$42,"")</f>
        <v/>
      </c>
      <c r="FR29" t="str">
        <f>IF(AND(34&lt;&gt;31,Anmeldung!$D$42&lt;&gt;"",Anmeldung!$U$42="Ja",Anmeldung!$G$42=Anmeldung!$G$39,Anmeldung!$J$42=Anmeldung!$J$39),Anmeldung!$B$42&amp;": "&amp;Anmeldung!$D$42&amp;", "&amp;Anmeldung!$E$42&amp;" / "&amp;Anmeldung!$G$42&amp;" / "&amp;Anmeldung!$J$42,"")</f>
        <v/>
      </c>
      <c r="FU29" t="str">
        <f>IF(AND(35&lt;&gt;33,Anmeldung!$D$42&lt;&gt;"",Anmeldung!$G$42=Anmeldung!$G$40,Anmeldung!$J$42=Anmeldung!$J$40),Anmeldung!$B$42&amp;": "&amp;Anmeldung!$D$42&amp;", "&amp;Anmeldung!$E$42&amp;" / "&amp;Anmeldung!$G$42&amp;" / "&amp;Anmeldung!$J$42,"")</f>
        <v/>
      </c>
      <c r="FV29" t="str">
        <f>IF(AND(35&lt;&gt;33,Anmeldung!$D$42&lt;&gt;"",Anmeldung!$G$42=Anmeldung!$G$40,Anmeldung!$J$42=Anmeldung!$J$40,(Anmeldung!$B$42&amp;": "&amp;Anmeldung!$D$42&amp;", "&amp;Anmeldung!$E$42&amp;" / "&amp;Anmeldung!$G$42&amp;" / "&amp;Anmeldung!$J$42)&lt;&gt;Anmeldung!$P$40),Anmeldung!$B$42&amp;": "&amp;Anmeldung!$D$42&amp;", "&amp;Anmeldung!$E$42&amp;" / "&amp;Anmeldung!$G$42&amp;" / "&amp;Anmeldung!$J$42,"")</f>
        <v/>
      </c>
      <c r="FW29" t="str">
        <f>IF(AND(35&lt;&gt;33,Anmeldung!$D$42&lt;&gt;"",Anmeldung!$G$42=Anmeldung!$G$40,Anmeldung!$J$42=Anmeldung!$J$40,(Anmeldung!$B$42&amp;": "&amp;Anmeldung!$D$42&amp;", "&amp;Anmeldung!$E$42&amp;" / "&amp;Anmeldung!$G$42&amp;" / "&amp;Anmeldung!$J$42)&lt;&gt;Anmeldung!$O$40),Anmeldung!$B$42&amp;": "&amp;Anmeldung!$D$42&amp;", "&amp;Anmeldung!$E$42&amp;" / "&amp;Anmeldung!$G$42&amp;" / "&amp;Anmeldung!$J$42,"")</f>
        <v/>
      </c>
      <c r="FX29" t="str">
        <f>IF(AND(35&lt;&gt;33,Anmeldung!$D$42&lt;&gt;"",Anmeldung!$G$42&lt;&gt;Anmeldung!$G$40,(Anmeldung!$B$42&amp;": "&amp;Anmeldung!$D$42&amp;", "&amp;Anmeldung!$E$42&amp;" / "&amp;Anmeldung!$G$42&amp;" / "&amp;Anmeldung!$J$42)&lt;&gt;Anmeldung!$S$40),Anmeldung!$B$42&amp;": "&amp;Anmeldung!$D$42&amp;", "&amp;Anmeldung!$E$42&amp;" / "&amp;Anmeldung!$G$42&amp;" / "&amp;Anmeldung!$J$42,"")</f>
        <v/>
      </c>
      <c r="FY29" t="str">
        <f>IF(AND(35&lt;&gt;33,Anmeldung!$D$42&lt;&gt;"",(Anmeldung!$B$42&amp;": "&amp;Anmeldung!$D$42&amp;", "&amp;Anmeldung!$E$42&amp;" / "&amp;Anmeldung!$G$42&amp;" / "&amp;Anmeldung!$J$42)&lt;&gt;Anmeldung!$R$40),Anmeldung!$B$42&amp;": "&amp;Anmeldung!$D$42&amp;", "&amp;Anmeldung!$E$42&amp;" / "&amp;Anmeldung!$G$42&amp;" / "&amp;Anmeldung!$J$42,"")</f>
        <v/>
      </c>
      <c r="FZ29" t="str">
        <f>IF(AND(34&lt;&gt;32,Anmeldung!$D$42&lt;&gt;"",Anmeldung!$U$42="Ja",Anmeldung!$G$42=Anmeldung!$G$40,Anmeldung!$J$42=Anmeldung!$J$40),Anmeldung!$B$42&amp;": "&amp;Anmeldung!$D$42&amp;", "&amp;Anmeldung!$E$42&amp;" / "&amp;Anmeldung!$G$42&amp;" / "&amp;Anmeldung!$J$42,"")</f>
        <v/>
      </c>
      <c r="GC29" t="str">
        <f>IF(AND(35&lt;&gt;34,Anmeldung!$D$42&lt;&gt;"",Anmeldung!$G$42=Anmeldung!$G$41,Anmeldung!$J$42=Anmeldung!$J$41),Anmeldung!$B$42&amp;": "&amp;Anmeldung!$D$42&amp;", "&amp;Anmeldung!$E$42&amp;" / "&amp;Anmeldung!$G$42&amp;" / "&amp;Anmeldung!$J$42,"")</f>
        <v/>
      </c>
      <c r="GD29" t="str">
        <f>IF(AND(35&lt;&gt;34,Anmeldung!$D$42&lt;&gt;"",Anmeldung!$G$42=Anmeldung!$G$41,Anmeldung!$J$42=Anmeldung!$J$41,(Anmeldung!$B$42&amp;": "&amp;Anmeldung!$D$42&amp;", "&amp;Anmeldung!$E$42&amp;" / "&amp;Anmeldung!$G$42&amp;" / "&amp;Anmeldung!$J$42)&lt;&gt;Anmeldung!$P$41),Anmeldung!$B$42&amp;": "&amp;Anmeldung!$D$42&amp;", "&amp;Anmeldung!$E$42&amp;" / "&amp;Anmeldung!$G$42&amp;" / "&amp;Anmeldung!$J$42,"")</f>
        <v/>
      </c>
      <c r="GE29" t="str">
        <f>IF(AND(35&lt;&gt;34,Anmeldung!$D$42&lt;&gt;"",Anmeldung!$G$42=Anmeldung!$G$41,Anmeldung!$J$42=Anmeldung!$J$41,(Anmeldung!$B$42&amp;": "&amp;Anmeldung!$D$42&amp;", "&amp;Anmeldung!$E$42&amp;" / "&amp;Anmeldung!$G$42&amp;" / "&amp;Anmeldung!$J$42)&lt;&gt;Anmeldung!$O$41),Anmeldung!$B$42&amp;": "&amp;Anmeldung!$D$42&amp;", "&amp;Anmeldung!$E$42&amp;" / "&amp;Anmeldung!$G$42&amp;" / "&amp;Anmeldung!$J$42,"")</f>
        <v/>
      </c>
      <c r="GF29" t="str">
        <f>IF(AND(35&lt;&gt;34,Anmeldung!$D$42&lt;&gt;"",Anmeldung!$G$42&lt;&gt;Anmeldung!$G$41,(Anmeldung!$B$42&amp;": "&amp;Anmeldung!$D$42&amp;", "&amp;Anmeldung!$E$42&amp;" / "&amp;Anmeldung!$G$42&amp;" / "&amp;Anmeldung!$J$42)&lt;&gt;Anmeldung!$S$41),Anmeldung!$B$42&amp;": "&amp;Anmeldung!$D$42&amp;", "&amp;Anmeldung!$E$42&amp;" / "&amp;Anmeldung!$G$42&amp;" / "&amp;Anmeldung!$J$42,"")</f>
        <v/>
      </c>
      <c r="GG29" t="str">
        <f>IF(AND(35&lt;&gt;34,Anmeldung!$D$42&lt;&gt;"",(Anmeldung!$B$42&amp;": "&amp;Anmeldung!$D$42&amp;", "&amp;Anmeldung!$E$42&amp;" / "&amp;Anmeldung!$G$42&amp;" / "&amp;Anmeldung!$J$42)&lt;&gt;Anmeldung!$R$41),Anmeldung!$B$42&amp;": "&amp;Anmeldung!$D$42&amp;", "&amp;Anmeldung!$E$42&amp;" / "&amp;Anmeldung!$G$42&amp;" / "&amp;Anmeldung!$J$42,"")</f>
        <v/>
      </c>
      <c r="GH29" t="str">
        <f>IF(AND(34&lt;&gt;33,Anmeldung!$D$42&lt;&gt;"",Anmeldung!$U$42="Ja",Anmeldung!$G$42=Anmeldung!$G$41,Anmeldung!$J$42=Anmeldung!$J$41),Anmeldung!$B$42&amp;": "&amp;Anmeldung!$D$42&amp;", "&amp;Anmeldung!$E$42&amp;" / "&amp;Anmeldung!$G$42&amp;" / "&amp;Anmeldung!$J$42,"")</f>
        <v/>
      </c>
      <c r="GK29" t="str">
        <f>IF(AND(35&lt;&gt;35,Anmeldung!$D$42&lt;&gt;"",Anmeldung!$G$42=Anmeldung!$G$42,Anmeldung!$J$42=Anmeldung!$J$42),Anmeldung!$B$42&amp;": "&amp;Anmeldung!$D$42&amp;", "&amp;Anmeldung!$E$42&amp;" / "&amp;Anmeldung!$G$42&amp;" / "&amp;Anmeldung!$J$42,"")</f>
        <v/>
      </c>
      <c r="GL29" t="str">
        <f>IF(AND(35&lt;&gt;35,Anmeldung!$D$42&lt;&gt;"",Anmeldung!$G$42=Anmeldung!$G$42,Anmeldung!$J$42=Anmeldung!$J$42,(Anmeldung!$B$42&amp;": "&amp;Anmeldung!$D$42&amp;", "&amp;Anmeldung!$E$42&amp;" / "&amp;Anmeldung!$G$42&amp;" / "&amp;Anmeldung!$J$42)&lt;&gt;Anmeldung!$P$42),Anmeldung!$B$42&amp;": "&amp;Anmeldung!$D$42&amp;", "&amp;Anmeldung!$E$42&amp;" / "&amp;Anmeldung!$G$42&amp;" / "&amp;Anmeldung!$J$42,"")</f>
        <v/>
      </c>
      <c r="GM29" t="str">
        <f>IF(AND(35&lt;&gt;35,Anmeldung!$D$42&lt;&gt;"",Anmeldung!$G$42=Anmeldung!$G$42,Anmeldung!$J$42=Anmeldung!$J$42,(Anmeldung!$B$42&amp;": "&amp;Anmeldung!$D$42&amp;", "&amp;Anmeldung!$E$42&amp;" / "&amp;Anmeldung!$G$42&amp;" / "&amp;Anmeldung!$J$42)&lt;&gt;Anmeldung!$O$42),Anmeldung!$B$42&amp;": "&amp;Anmeldung!$D$42&amp;", "&amp;Anmeldung!$E$42&amp;" / "&amp;Anmeldung!$G$42&amp;" / "&amp;Anmeldung!$J$42,"")</f>
        <v/>
      </c>
      <c r="GN29" t="str">
        <f>IF(AND(35&lt;&gt;35,Anmeldung!$D$42&lt;&gt;"",Anmeldung!$G$42&lt;&gt;Anmeldung!$G$42,(Anmeldung!$B$42&amp;": "&amp;Anmeldung!$D$42&amp;", "&amp;Anmeldung!$E$42&amp;" / "&amp;Anmeldung!$G$42&amp;" / "&amp;Anmeldung!$J$42)&lt;&gt;Anmeldung!$S$42),Anmeldung!$B$42&amp;": "&amp;Anmeldung!$D$42&amp;", "&amp;Anmeldung!$E$42&amp;" / "&amp;Anmeldung!$G$42&amp;" / "&amp;Anmeldung!$J$42,"")</f>
        <v/>
      </c>
      <c r="GO29" t="str">
        <f>IF(AND(35&lt;&gt;35,Anmeldung!$D$42&lt;&gt;"",(Anmeldung!$B$42&amp;": "&amp;Anmeldung!$D$42&amp;", "&amp;Anmeldung!$E$42&amp;" / "&amp;Anmeldung!$G$42&amp;" / "&amp;Anmeldung!$J$42)&lt;&gt;Anmeldung!$R$42),Anmeldung!$B$42&amp;": "&amp;Anmeldung!$D$42&amp;", "&amp;Anmeldung!$E$42&amp;" / "&amp;Anmeldung!$G$42&amp;" / "&amp;Anmeldung!$J$42,"")</f>
        <v/>
      </c>
      <c r="GP29" t="str">
        <f>IF(AND(34&lt;&gt;34,Anmeldung!$D$42&lt;&gt;"",Anmeldung!$U$42="Ja",Anmeldung!$G$42=Anmeldung!$G$42,Anmeldung!$J$42=Anmeldung!$J$42),Anmeldung!$B$42&amp;": "&amp;Anmeldung!$D$42&amp;", "&amp;Anmeldung!$E$42&amp;" / "&amp;Anmeldung!$G$42&amp;" / "&amp;Anmeldung!$J$42,"")</f>
        <v/>
      </c>
      <c r="GS29" t="str">
        <f>IF(AND(35&lt;&gt;36,Anmeldung!$D$42&lt;&gt;"",Anmeldung!$G$42=Anmeldung!$G$43,Anmeldung!$J$42=Anmeldung!$J$43),Anmeldung!$B$42&amp;": "&amp;Anmeldung!$D$42&amp;", "&amp;Anmeldung!$E$42&amp;" / "&amp;Anmeldung!$G$42&amp;" / "&amp;Anmeldung!$J$42,"")</f>
        <v/>
      </c>
      <c r="GT29" t="str">
        <f>IF(AND(35&lt;&gt;36,Anmeldung!$D$42&lt;&gt;"",Anmeldung!$G$42=Anmeldung!$G$43,Anmeldung!$J$42=Anmeldung!$J$43,(Anmeldung!$B$42&amp;": "&amp;Anmeldung!$D$42&amp;", "&amp;Anmeldung!$E$42&amp;" / "&amp;Anmeldung!$G$42&amp;" / "&amp;Anmeldung!$J$42)&lt;&gt;Anmeldung!$P$43),Anmeldung!$B$42&amp;": "&amp;Anmeldung!$D$42&amp;", "&amp;Anmeldung!$E$42&amp;" / "&amp;Anmeldung!$G$42&amp;" / "&amp;Anmeldung!$J$42,"")</f>
        <v/>
      </c>
      <c r="GU29" t="str">
        <f>IF(AND(35&lt;&gt;36,Anmeldung!$D$42&lt;&gt;"",Anmeldung!$G$42=Anmeldung!$G$43,Anmeldung!$J$42=Anmeldung!$J$43,(Anmeldung!$B$42&amp;": "&amp;Anmeldung!$D$42&amp;", "&amp;Anmeldung!$E$42&amp;" / "&amp;Anmeldung!$G$42&amp;" / "&amp;Anmeldung!$J$42)&lt;&gt;Anmeldung!$O$43),Anmeldung!$B$42&amp;": "&amp;Anmeldung!$D$42&amp;", "&amp;Anmeldung!$E$42&amp;" / "&amp;Anmeldung!$G$42&amp;" / "&amp;Anmeldung!$J$42,"")</f>
        <v/>
      </c>
      <c r="GV29" t="str">
        <f>IF(AND(35&lt;&gt;36,Anmeldung!$D$42&lt;&gt;"",Anmeldung!$G$42&lt;&gt;Anmeldung!$G$43,(Anmeldung!$B$42&amp;": "&amp;Anmeldung!$D$42&amp;", "&amp;Anmeldung!$E$42&amp;" / "&amp;Anmeldung!$G$42&amp;" / "&amp;Anmeldung!$J$42)&lt;&gt;Anmeldung!$S$43),Anmeldung!$B$42&amp;": "&amp;Anmeldung!$D$42&amp;", "&amp;Anmeldung!$E$42&amp;" / "&amp;Anmeldung!$G$42&amp;" / "&amp;Anmeldung!$J$42,"")</f>
        <v/>
      </c>
      <c r="GW29" t="str">
        <f>IF(AND(35&lt;&gt;36,Anmeldung!$D$42&lt;&gt;"",(Anmeldung!$B$42&amp;": "&amp;Anmeldung!$D$42&amp;", "&amp;Anmeldung!$E$42&amp;" / "&amp;Anmeldung!$G$42&amp;" / "&amp;Anmeldung!$J$42)&lt;&gt;Anmeldung!$R$43),Anmeldung!$B$42&amp;": "&amp;Anmeldung!$D$42&amp;", "&amp;Anmeldung!$E$42&amp;" / "&amp;Anmeldung!$G$42&amp;" / "&amp;Anmeldung!$J$42,"")</f>
        <v/>
      </c>
      <c r="GX29" t="str">
        <f>IF(AND(34&lt;&gt;35,Anmeldung!$D$42&lt;&gt;"",Anmeldung!$U$42="Ja",Anmeldung!$G$42=Anmeldung!$G$43,Anmeldung!$J$42=Anmeldung!$J$43),Anmeldung!$B$42&amp;": "&amp;Anmeldung!$D$42&amp;", "&amp;Anmeldung!$E$42&amp;" / "&amp;Anmeldung!$G$42&amp;" / "&amp;Anmeldung!$J$42,"")</f>
        <v/>
      </c>
      <c r="HA29" t="str">
        <f>IF(AND(35&lt;&gt;37,Anmeldung!$D$42&lt;&gt;"",Anmeldung!$G$42=Anmeldung!$G$44,Anmeldung!$J$42=Anmeldung!$J$44),Anmeldung!$B$42&amp;": "&amp;Anmeldung!$D$42&amp;", "&amp;Anmeldung!$E$42&amp;" / "&amp;Anmeldung!$G$42&amp;" / "&amp;Anmeldung!$J$42,"")</f>
        <v/>
      </c>
      <c r="HB29" t="str">
        <f>IF(AND(35&lt;&gt;37,Anmeldung!$D$42&lt;&gt;"",Anmeldung!$G$42=Anmeldung!$G$44,Anmeldung!$J$42=Anmeldung!$J$44,(Anmeldung!$B$42&amp;": "&amp;Anmeldung!$D$42&amp;", "&amp;Anmeldung!$E$42&amp;" / "&amp;Anmeldung!$G$42&amp;" / "&amp;Anmeldung!$J$42)&lt;&gt;Anmeldung!$P$44),Anmeldung!$B$42&amp;": "&amp;Anmeldung!$D$42&amp;", "&amp;Anmeldung!$E$42&amp;" / "&amp;Anmeldung!$G$42&amp;" / "&amp;Anmeldung!$J$42,"")</f>
        <v/>
      </c>
      <c r="HC29" t="str">
        <f>IF(AND(35&lt;&gt;37,Anmeldung!$D$42&lt;&gt;"",Anmeldung!$G$42=Anmeldung!$G$44,Anmeldung!$J$42=Anmeldung!$J$44,(Anmeldung!$B$42&amp;": "&amp;Anmeldung!$D$42&amp;", "&amp;Anmeldung!$E$42&amp;" / "&amp;Anmeldung!$G$42&amp;" / "&amp;Anmeldung!$J$42)&lt;&gt;Anmeldung!$O$44),Anmeldung!$B$42&amp;": "&amp;Anmeldung!$D$42&amp;", "&amp;Anmeldung!$E$42&amp;" / "&amp;Anmeldung!$G$42&amp;" / "&amp;Anmeldung!$J$42,"")</f>
        <v/>
      </c>
      <c r="HD29" t="str">
        <f>IF(AND(35&lt;&gt;37,Anmeldung!$D$42&lt;&gt;"",Anmeldung!$G$42&lt;&gt;Anmeldung!$G$44,(Anmeldung!$B$42&amp;": "&amp;Anmeldung!$D$42&amp;", "&amp;Anmeldung!$E$42&amp;" / "&amp;Anmeldung!$G$42&amp;" / "&amp;Anmeldung!$J$42)&lt;&gt;Anmeldung!$S$44),Anmeldung!$B$42&amp;": "&amp;Anmeldung!$D$42&amp;", "&amp;Anmeldung!$E$42&amp;" / "&amp;Anmeldung!$G$42&amp;" / "&amp;Anmeldung!$J$42,"")</f>
        <v/>
      </c>
      <c r="HE29" t="str">
        <f>IF(AND(35&lt;&gt;37,Anmeldung!$D$42&lt;&gt;"",(Anmeldung!$B$42&amp;": "&amp;Anmeldung!$D$42&amp;", "&amp;Anmeldung!$E$42&amp;" / "&amp;Anmeldung!$G$42&amp;" / "&amp;Anmeldung!$J$42)&lt;&gt;Anmeldung!$R$44),Anmeldung!$B$42&amp;": "&amp;Anmeldung!$D$42&amp;", "&amp;Anmeldung!$E$42&amp;" / "&amp;Anmeldung!$G$42&amp;" / "&amp;Anmeldung!$J$42,"")</f>
        <v/>
      </c>
      <c r="HF29" t="str">
        <f>IF(AND(34&lt;&gt;36,Anmeldung!$D$42&lt;&gt;"",Anmeldung!$U$42="Ja",Anmeldung!$G$42=Anmeldung!$G$44,Anmeldung!$J$42=Anmeldung!$J$44),Anmeldung!$B$42&amp;": "&amp;Anmeldung!$D$42&amp;", "&amp;Anmeldung!$E$42&amp;" / "&amp;Anmeldung!$G$42&amp;" / "&amp;Anmeldung!$J$42,"")</f>
        <v/>
      </c>
      <c r="HI29" t="str">
        <f>IF(AND(35&lt;&gt;38,Anmeldung!$D$42&lt;&gt;"",Anmeldung!$G$42=Anmeldung!$G$45,Anmeldung!$J$42=Anmeldung!$J$45),Anmeldung!$B$42&amp;": "&amp;Anmeldung!$D$42&amp;", "&amp;Anmeldung!$E$42&amp;" / "&amp;Anmeldung!$G$42&amp;" / "&amp;Anmeldung!$J$42,"")</f>
        <v/>
      </c>
      <c r="HJ29" t="str">
        <f>IF(AND(35&lt;&gt;38,Anmeldung!$D$42&lt;&gt;"",Anmeldung!$G$42=Anmeldung!$G$45,Anmeldung!$J$42=Anmeldung!$J$45,(Anmeldung!$B$42&amp;": "&amp;Anmeldung!$D$42&amp;", "&amp;Anmeldung!$E$42&amp;" / "&amp;Anmeldung!$G$42&amp;" / "&amp;Anmeldung!$J$42)&lt;&gt;Anmeldung!$P$45),Anmeldung!$B$42&amp;": "&amp;Anmeldung!$D$42&amp;", "&amp;Anmeldung!$E$42&amp;" / "&amp;Anmeldung!$G$42&amp;" / "&amp;Anmeldung!$J$42,"")</f>
        <v/>
      </c>
      <c r="HK29" t="str">
        <f>IF(AND(35&lt;&gt;38,Anmeldung!$D$42&lt;&gt;"",Anmeldung!$G$42=Anmeldung!$G$45,Anmeldung!$J$42=Anmeldung!$J$45,(Anmeldung!$B$42&amp;": "&amp;Anmeldung!$D$42&amp;", "&amp;Anmeldung!$E$42&amp;" / "&amp;Anmeldung!$G$42&amp;" / "&amp;Anmeldung!$J$42)&lt;&gt;Anmeldung!$O$45),Anmeldung!$B$42&amp;": "&amp;Anmeldung!$D$42&amp;", "&amp;Anmeldung!$E$42&amp;" / "&amp;Anmeldung!$G$42&amp;" / "&amp;Anmeldung!$J$42,"")</f>
        <v/>
      </c>
      <c r="HL29" t="str">
        <f>IF(AND(35&lt;&gt;38,Anmeldung!$D$42&lt;&gt;"",Anmeldung!$G$42&lt;&gt;Anmeldung!$G$45,(Anmeldung!$B$42&amp;": "&amp;Anmeldung!$D$42&amp;", "&amp;Anmeldung!$E$42&amp;" / "&amp;Anmeldung!$G$42&amp;" / "&amp;Anmeldung!$J$42)&lt;&gt;Anmeldung!$S$45),Anmeldung!$B$42&amp;": "&amp;Anmeldung!$D$42&amp;", "&amp;Anmeldung!$E$42&amp;" / "&amp;Anmeldung!$G$42&amp;" / "&amp;Anmeldung!$J$42,"")</f>
        <v/>
      </c>
      <c r="HM29" t="str">
        <f>IF(AND(35&lt;&gt;38,Anmeldung!$D$42&lt;&gt;"",(Anmeldung!$B$42&amp;": "&amp;Anmeldung!$D$42&amp;", "&amp;Anmeldung!$E$42&amp;" / "&amp;Anmeldung!$G$42&amp;" / "&amp;Anmeldung!$J$42)&lt;&gt;Anmeldung!$R$45),Anmeldung!$B$42&amp;": "&amp;Anmeldung!$D$42&amp;", "&amp;Anmeldung!$E$42&amp;" / "&amp;Anmeldung!$G$42&amp;" / "&amp;Anmeldung!$J$42,"")</f>
        <v/>
      </c>
      <c r="HN29" t="str">
        <f>IF(AND(34&lt;&gt;37,Anmeldung!$D$42&lt;&gt;"",Anmeldung!$U$42="Ja",Anmeldung!$G$42=Anmeldung!$G$45,Anmeldung!$J$42=Anmeldung!$J$45),Anmeldung!$B$42&amp;": "&amp;Anmeldung!$D$42&amp;", "&amp;Anmeldung!$E$42&amp;" / "&amp;Anmeldung!$G$42&amp;" / "&amp;Anmeldung!$J$42,"")</f>
        <v/>
      </c>
      <c r="HQ29" t="str">
        <f>IF(AND(35&lt;&gt;39,Anmeldung!$D$42&lt;&gt;"",Anmeldung!$G$42=Anmeldung!$G$46,Anmeldung!$J$42=Anmeldung!$J$46),Anmeldung!$B$42&amp;": "&amp;Anmeldung!$D$42&amp;", "&amp;Anmeldung!$E$42&amp;" / "&amp;Anmeldung!$G$42&amp;" / "&amp;Anmeldung!$J$42,"")</f>
        <v/>
      </c>
      <c r="HR29" t="str">
        <f>IF(AND(35&lt;&gt;39,Anmeldung!$D$42&lt;&gt;"",Anmeldung!$G$42=Anmeldung!$G$46,Anmeldung!$J$42=Anmeldung!$J$46,(Anmeldung!$B$42&amp;": "&amp;Anmeldung!$D$42&amp;", "&amp;Anmeldung!$E$42&amp;" / "&amp;Anmeldung!$G$42&amp;" / "&amp;Anmeldung!$J$42)&lt;&gt;Anmeldung!$P$46),Anmeldung!$B$42&amp;": "&amp;Anmeldung!$D$42&amp;", "&amp;Anmeldung!$E$42&amp;" / "&amp;Anmeldung!$G$42&amp;" / "&amp;Anmeldung!$J$42,"")</f>
        <v/>
      </c>
      <c r="HS29" t="str">
        <f>IF(AND(35&lt;&gt;39,Anmeldung!$D$42&lt;&gt;"",Anmeldung!$G$42=Anmeldung!$G$46,Anmeldung!$J$42=Anmeldung!$J$46,(Anmeldung!$B$42&amp;": "&amp;Anmeldung!$D$42&amp;", "&amp;Anmeldung!$E$42&amp;" / "&amp;Anmeldung!$G$42&amp;" / "&amp;Anmeldung!$J$42)&lt;&gt;Anmeldung!$O$46),Anmeldung!$B$42&amp;": "&amp;Anmeldung!$D$42&amp;", "&amp;Anmeldung!$E$42&amp;" / "&amp;Anmeldung!$G$42&amp;" / "&amp;Anmeldung!$J$42,"")</f>
        <v/>
      </c>
      <c r="HT29" t="str">
        <f>IF(AND(35&lt;&gt;39,Anmeldung!$D$42&lt;&gt;"",Anmeldung!$G$42&lt;&gt;Anmeldung!$G$46,(Anmeldung!$B$42&amp;": "&amp;Anmeldung!$D$42&amp;", "&amp;Anmeldung!$E$42&amp;" / "&amp;Anmeldung!$G$42&amp;" / "&amp;Anmeldung!$J$42)&lt;&gt;Anmeldung!$S$46),Anmeldung!$B$42&amp;": "&amp;Anmeldung!$D$42&amp;", "&amp;Anmeldung!$E$42&amp;" / "&amp;Anmeldung!$G$42&amp;" / "&amp;Anmeldung!$J$42,"")</f>
        <v/>
      </c>
      <c r="HU29" t="str">
        <f>IF(AND(35&lt;&gt;39,Anmeldung!$D$42&lt;&gt;"",(Anmeldung!$B$42&amp;": "&amp;Anmeldung!$D$42&amp;", "&amp;Anmeldung!$E$42&amp;" / "&amp;Anmeldung!$G$42&amp;" / "&amp;Anmeldung!$J$42)&lt;&gt;Anmeldung!$R$46),Anmeldung!$B$42&amp;": "&amp;Anmeldung!$D$42&amp;", "&amp;Anmeldung!$E$42&amp;" / "&amp;Anmeldung!$G$42&amp;" / "&amp;Anmeldung!$J$42,"")</f>
        <v/>
      </c>
      <c r="HV29" t="str">
        <f>IF(AND(34&lt;&gt;38,Anmeldung!$D$42&lt;&gt;"",Anmeldung!$U$42="Ja",Anmeldung!$G$42=Anmeldung!$G$46,Anmeldung!$J$42=Anmeldung!$J$46),Anmeldung!$B$42&amp;": "&amp;Anmeldung!$D$42&amp;", "&amp;Anmeldung!$E$42&amp;" / "&amp;Anmeldung!$G$42&amp;" / "&amp;Anmeldung!$J$42,"")</f>
        <v/>
      </c>
      <c r="HY29" t="str">
        <f>IF(AND(35&lt;&gt;40,Anmeldung!$D$42&lt;&gt;"",Anmeldung!$G$42=Anmeldung!$G$47,Anmeldung!$J$42=Anmeldung!$J$47),Anmeldung!$B$42&amp;": "&amp;Anmeldung!$D$42&amp;", "&amp;Anmeldung!$E$42&amp;" / "&amp;Anmeldung!$G$42&amp;" / "&amp;Anmeldung!$J$42,"")</f>
        <v/>
      </c>
      <c r="HZ29" t="str">
        <f>IF(AND(35&lt;&gt;40,Anmeldung!$D$42&lt;&gt;"",Anmeldung!$G$42=Anmeldung!$G$47,Anmeldung!$J$42=Anmeldung!$J$47,(Anmeldung!$B$42&amp;": "&amp;Anmeldung!$D$42&amp;", "&amp;Anmeldung!$E$42&amp;" / "&amp;Anmeldung!$G$42&amp;" / "&amp;Anmeldung!$J$42)&lt;&gt;Anmeldung!$P$47),Anmeldung!$B$42&amp;": "&amp;Anmeldung!$D$42&amp;", "&amp;Anmeldung!$E$42&amp;" / "&amp;Anmeldung!$G$42&amp;" / "&amp;Anmeldung!$J$42,"")</f>
        <v/>
      </c>
      <c r="IA29" t="str">
        <f>IF(AND(35&lt;&gt;40,Anmeldung!$D$42&lt;&gt;"",Anmeldung!$G$42=Anmeldung!$G$47,Anmeldung!$J$42=Anmeldung!$J$47,(Anmeldung!$B$42&amp;": "&amp;Anmeldung!$D$42&amp;", "&amp;Anmeldung!$E$42&amp;" / "&amp;Anmeldung!$G$42&amp;" / "&amp;Anmeldung!$J$42)&lt;&gt;Anmeldung!$O$47),Anmeldung!$B$42&amp;": "&amp;Anmeldung!$D$42&amp;", "&amp;Anmeldung!$E$42&amp;" / "&amp;Anmeldung!$G$42&amp;" / "&amp;Anmeldung!$J$42,"")</f>
        <v/>
      </c>
      <c r="IB29" t="str">
        <f>IF(AND(35&lt;&gt;40,Anmeldung!$D$42&lt;&gt;"",Anmeldung!$G$42&lt;&gt;Anmeldung!$G$47,(Anmeldung!$B$42&amp;": "&amp;Anmeldung!$D$42&amp;", "&amp;Anmeldung!$E$42&amp;" / "&amp;Anmeldung!$G$42&amp;" / "&amp;Anmeldung!$J$42)&lt;&gt;Anmeldung!$S$47),Anmeldung!$B$42&amp;": "&amp;Anmeldung!$D$42&amp;", "&amp;Anmeldung!$E$42&amp;" / "&amp;Anmeldung!$G$42&amp;" / "&amp;Anmeldung!$J$42,"")</f>
        <v/>
      </c>
      <c r="IC29" t="str">
        <f>IF(AND(35&lt;&gt;40,Anmeldung!$D$42&lt;&gt;"",(Anmeldung!$B$42&amp;": "&amp;Anmeldung!$D$42&amp;", "&amp;Anmeldung!$E$42&amp;" / "&amp;Anmeldung!$G$42&amp;" / "&amp;Anmeldung!$J$42)&lt;&gt;Anmeldung!$R$47),Anmeldung!$B$42&amp;": "&amp;Anmeldung!$D$42&amp;", "&amp;Anmeldung!$E$42&amp;" / "&amp;Anmeldung!$G$42&amp;" / "&amp;Anmeldung!$J$42,"")</f>
        <v/>
      </c>
      <c r="ID29" t="str">
        <f>IF(AND(34&lt;&gt;39,Anmeldung!$D$42&lt;&gt;"",Anmeldung!$U$42="Ja",Anmeldung!$G$42=Anmeldung!$G$47,Anmeldung!$J$42=Anmeldung!$J$47),Anmeldung!$B$42&amp;": "&amp;Anmeldung!$D$42&amp;", "&amp;Anmeldung!$E$42&amp;" / "&amp;Anmeldung!$G$42&amp;" / "&amp;Anmeldung!$J$42,"")</f>
        <v/>
      </c>
    </row>
    <row r="30" spans="1:238" ht="14.25" customHeight="1" x14ac:dyDescent="0.3">
      <c r="A30" t="str">
        <f>IF(AND(36&lt;&gt;11,Anmeldung!$D$43&lt;&gt;"",Anmeldung!$G$43=Anmeldung!$G$18,Anmeldung!$J$43=Anmeldung!$J$18),Anmeldung!$B$43&amp;": "&amp;Anmeldung!$D$43&amp;", "&amp;Anmeldung!$E$43&amp;" / "&amp;Anmeldung!$G$43&amp;" / "&amp;Anmeldung!$J$43,"")</f>
        <v/>
      </c>
      <c r="B30" t="str">
        <f>IF(AND(36&lt;&gt;11,Anmeldung!$D$43&lt;&gt;"",Anmeldung!$G$43=Anmeldung!$G$18,Anmeldung!$J$43=Anmeldung!$J$18,(Anmeldung!$B$43&amp;": "&amp;Anmeldung!$D$43&amp;", "&amp;Anmeldung!$E$43&amp;" / "&amp;Anmeldung!$G$43&amp;" / "&amp;Anmeldung!$J$43)&lt;&gt;Anmeldung!$P$18),Anmeldung!$B$43&amp;": "&amp;Anmeldung!$D$43&amp;", "&amp;Anmeldung!$E$43&amp;" / "&amp;Anmeldung!$G$43&amp;" / "&amp;Anmeldung!$J$43,"")</f>
        <v/>
      </c>
      <c r="C30" t="str">
        <f>IF(AND(36&lt;&gt;11,Anmeldung!$D$43&lt;&gt;"",Anmeldung!$G$43=Anmeldung!$G$18,Anmeldung!$J$43=Anmeldung!$J$18,(Anmeldung!$B$43&amp;": "&amp;Anmeldung!$D$43&amp;", "&amp;Anmeldung!$E$43&amp;" / "&amp;Anmeldung!$G$43&amp;" / "&amp;Anmeldung!$J$43)&lt;&gt;Anmeldung!$O$18),Anmeldung!$B$43&amp;": "&amp;Anmeldung!$D$43&amp;", "&amp;Anmeldung!$E$43&amp;" / "&amp;Anmeldung!$G$43&amp;" / "&amp;Anmeldung!$J$43,"")</f>
        <v/>
      </c>
      <c r="D30" t="str">
        <f>IF(AND(36&lt;&gt;11,Anmeldung!$D$43&lt;&gt;"",Anmeldung!$G$43&lt;&gt;Anmeldung!$G$18,(Anmeldung!$B$43&amp;": "&amp;Anmeldung!$D$43&amp;", "&amp;Anmeldung!$E$43&amp;" / "&amp;Anmeldung!$G$43&amp;" / "&amp;Anmeldung!$J$43)&lt;&gt;Anmeldung!$S$18),Anmeldung!$B$43&amp;": "&amp;Anmeldung!$D$43&amp;", "&amp;Anmeldung!$E$43&amp;" / "&amp;Anmeldung!$G$43&amp;" / "&amp;Anmeldung!$J$43,"")</f>
        <v/>
      </c>
      <c r="E30" t="str">
        <f>IF(AND(36&lt;&gt;11,Anmeldung!$D$43&lt;&gt;"",(Anmeldung!$B$43&amp;": "&amp;Anmeldung!$D$43&amp;", "&amp;Anmeldung!$E$43&amp;" / "&amp;Anmeldung!$G$43&amp;" / "&amp;Anmeldung!$J$43)&lt;&gt;Anmeldung!$R$18),Anmeldung!$B$43&amp;": "&amp;Anmeldung!$D$43&amp;", "&amp;Anmeldung!$E$43&amp;" / "&amp;Anmeldung!$G$43&amp;" / "&amp;Anmeldung!$J$43,"")</f>
        <v/>
      </c>
      <c r="F30" t="str">
        <f>IF(AND(35&lt;&gt;10,Anmeldung!$D$43&lt;&gt;"",Anmeldung!$U$43="Ja",Anmeldung!$G$43=Anmeldung!$G$18,Anmeldung!$J$43=Anmeldung!$J$18),Anmeldung!$B$43&amp;": "&amp;Anmeldung!$D$43&amp;", "&amp;Anmeldung!$E$43&amp;" / "&amp;Anmeldung!$G$43&amp;" / "&amp;Anmeldung!$J$43,"")</f>
        <v/>
      </c>
      <c r="I30" t="str">
        <f>IF(AND(36&lt;&gt;12,Anmeldung!$D$43&lt;&gt;"",Anmeldung!$G$43=Anmeldung!$G$19,Anmeldung!$J$43=Anmeldung!$J$19),Anmeldung!$B$43&amp;": "&amp;Anmeldung!$D$43&amp;", "&amp;Anmeldung!$E$43&amp;" / "&amp;Anmeldung!$G$43&amp;" / "&amp;Anmeldung!$J$43,"")</f>
        <v/>
      </c>
      <c r="J30" t="str">
        <f>IF(AND(36&lt;&gt;12,Anmeldung!$D$43&lt;&gt;"",Anmeldung!$G$43=Anmeldung!$G$19,Anmeldung!$J$43=Anmeldung!$J$19,(Anmeldung!$B$43&amp;": "&amp;Anmeldung!$D$43&amp;", "&amp;Anmeldung!$E$43&amp;" / "&amp;Anmeldung!$G$43&amp;" / "&amp;Anmeldung!$J$43)&lt;&gt;Anmeldung!$P$19),Anmeldung!$B$43&amp;": "&amp;Anmeldung!$D$43&amp;", "&amp;Anmeldung!$E$43&amp;" / "&amp;Anmeldung!$G$43&amp;" / "&amp;Anmeldung!$J$43,"")</f>
        <v/>
      </c>
      <c r="K30" t="str">
        <f>IF(AND(36&lt;&gt;12,Anmeldung!$D$43&lt;&gt;"",Anmeldung!$G$43=Anmeldung!$G$19,Anmeldung!$J$43=Anmeldung!$J$19,(Anmeldung!$B$43&amp;": "&amp;Anmeldung!$D$43&amp;", "&amp;Anmeldung!$E$43&amp;" / "&amp;Anmeldung!$G$43&amp;" / "&amp;Anmeldung!$J$43)&lt;&gt;Anmeldung!$O$19),Anmeldung!$B$43&amp;": "&amp;Anmeldung!$D$43&amp;", "&amp;Anmeldung!$E$43&amp;" / "&amp;Anmeldung!$G$43&amp;" / "&amp;Anmeldung!$J$43,"")</f>
        <v/>
      </c>
      <c r="L30" t="str">
        <f>IF(AND(36&lt;&gt;12,Anmeldung!$D$43&lt;&gt;"",Anmeldung!$G$43&lt;&gt;Anmeldung!$G$19,(Anmeldung!$B$43&amp;": "&amp;Anmeldung!$D$43&amp;", "&amp;Anmeldung!$E$43&amp;" / "&amp;Anmeldung!$G$43&amp;" / "&amp;Anmeldung!$J$43)&lt;&gt;Anmeldung!$S$19),Anmeldung!$B$43&amp;": "&amp;Anmeldung!$D$43&amp;", "&amp;Anmeldung!$E$43&amp;" / "&amp;Anmeldung!$G$43&amp;" / "&amp;Anmeldung!$J$43,"")</f>
        <v/>
      </c>
      <c r="M30" t="str">
        <f>IF(AND(36&lt;&gt;12,Anmeldung!$D$43&lt;&gt;"",(Anmeldung!$B$43&amp;": "&amp;Anmeldung!$D$43&amp;", "&amp;Anmeldung!$E$43&amp;" / "&amp;Anmeldung!$G$43&amp;" / "&amp;Anmeldung!$J$43)&lt;&gt;Anmeldung!$R$19),Anmeldung!$B$43&amp;": "&amp;Anmeldung!$D$43&amp;", "&amp;Anmeldung!$E$43&amp;" / "&amp;Anmeldung!$G$43&amp;" / "&amp;Anmeldung!$J$43,"")</f>
        <v/>
      </c>
      <c r="N30" t="str">
        <f>IF(AND(35&lt;&gt;11,Anmeldung!$D$43&lt;&gt;"",Anmeldung!$U$43="Ja",Anmeldung!$G$43=Anmeldung!$G$19,Anmeldung!$J$43=Anmeldung!$J$19),Anmeldung!$B$43&amp;": "&amp;Anmeldung!$D$43&amp;", "&amp;Anmeldung!$E$43&amp;" / "&amp;Anmeldung!$G$43&amp;" / "&amp;Anmeldung!$J$43,"")</f>
        <v/>
      </c>
      <c r="Q30" t="str">
        <f>IF(AND(36&lt;&gt;13,Anmeldung!$D$43&lt;&gt;"",Anmeldung!$G$43=Anmeldung!$G$20,Anmeldung!$J$43=Anmeldung!$J$20),Anmeldung!$B$43&amp;": "&amp;Anmeldung!$D$43&amp;", "&amp;Anmeldung!$E$43&amp;" / "&amp;Anmeldung!$G$43&amp;" / "&amp;Anmeldung!$J$43,"")</f>
        <v/>
      </c>
      <c r="R30" t="str">
        <f>IF(AND(36&lt;&gt;13,Anmeldung!$D$43&lt;&gt;"",Anmeldung!$G$43=Anmeldung!$G$20,Anmeldung!$J$43=Anmeldung!$J$20,(Anmeldung!$B$43&amp;": "&amp;Anmeldung!$D$43&amp;", "&amp;Anmeldung!$E$43&amp;" / "&amp;Anmeldung!$G$43&amp;" / "&amp;Anmeldung!$J$43)&lt;&gt;Anmeldung!$P$20),Anmeldung!$B$43&amp;": "&amp;Anmeldung!$D$43&amp;", "&amp;Anmeldung!$E$43&amp;" / "&amp;Anmeldung!$G$43&amp;" / "&amp;Anmeldung!$J$43,"")</f>
        <v/>
      </c>
      <c r="S30" t="str">
        <f>IF(AND(36&lt;&gt;13,Anmeldung!$D$43&lt;&gt;"",Anmeldung!$G$43=Anmeldung!$G$20,Anmeldung!$J$43=Anmeldung!$J$20,(Anmeldung!$B$43&amp;": "&amp;Anmeldung!$D$43&amp;", "&amp;Anmeldung!$E$43&amp;" / "&amp;Anmeldung!$G$43&amp;" / "&amp;Anmeldung!$J$43)&lt;&gt;Anmeldung!$O$20),Anmeldung!$B$43&amp;": "&amp;Anmeldung!$D$43&amp;", "&amp;Anmeldung!$E$43&amp;" / "&amp;Anmeldung!$G$43&amp;" / "&amp;Anmeldung!$J$43,"")</f>
        <v/>
      </c>
      <c r="T30" t="str">
        <f>IF(AND(36&lt;&gt;13,Anmeldung!$D$43&lt;&gt;"",Anmeldung!$G$43&lt;&gt;Anmeldung!$G$20,(Anmeldung!$B$43&amp;": "&amp;Anmeldung!$D$43&amp;", "&amp;Anmeldung!$E$43&amp;" / "&amp;Anmeldung!$G$43&amp;" / "&amp;Anmeldung!$J$43)&lt;&gt;Anmeldung!$S$20),Anmeldung!$B$43&amp;": "&amp;Anmeldung!$D$43&amp;", "&amp;Anmeldung!$E$43&amp;" / "&amp;Anmeldung!$G$43&amp;" / "&amp;Anmeldung!$J$43,"")</f>
        <v/>
      </c>
      <c r="U30" t="str">
        <f>IF(AND(36&lt;&gt;13,Anmeldung!$D$43&lt;&gt;"",(Anmeldung!$B$43&amp;": "&amp;Anmeldung!$D$43&amp;", "&amp;Anmeldung!$E$43&amp;" / "&amp;Anmeldung!$G$43&amp;" / "&amp;Anmeldung!$J$43)&lt;&gt;Anmeldung!$R$20),Anmeldung!$B$43&amp;": "&amp;Anmeldung!$D$43&amp;", "&amp;Anmeldung!$E$43&amp;" / "&amp;Anmeldung!$G$43&amp;" / "&amp;Anmeldung!$J$43,"")</f>
        <v/>
      </c>
      <c r="V30" t="str">
        <f>IF(AND(35&lt;&gt;12,Anmeldung!$D$43&lt;&gt;"",Anmeldung!$U$43="Ja",Anmeldung!$G$43=Anmeldung!$G$20,Anmeldung!$J$43=Anmeldung!$J$20),Anmeldung!$B$43&amp;": "&amp;Anmeldung!$D$43&amp;", "&amp;Anmeldung!$E$43&amp;" / "&amp;Anmeldung!$G$43&amp;" / "&amp;Anmeldung!$J$43,"")</f>
        <v/>
      </c>
      <c r="Y30" t="str">
        <f>IF(AND(36&lt;&gt;14,Anmeldung!$D$43&lt;&gt;"",Anmeldung!$G$43=Anmeldung!$G$21,Anmeldung!$J$43=Anmeldung!$J$21),Anmeldung!$B$43&amp;": "&amp;Anmeldung!$D$43&amp;", "&amp;Anmeldung!$E$43&amp;" / "&amp;Anmeldung!$G$43&amp;" / "&amp;Anmeldung!$J$43,"")</f>
        <v/>
      </c>
      <c r="Z30" t="str">
        <f>IF(AND(36&lt;&gt;14,Anmeldung!$D$43&lt;&gt;"",Anmeldung!$G$43=Anmeldung!$G$21,Anmeldung!$J$43=Anmeldung!$J$21,(Anmeldung!$B$43&amp;": "&amp;Anmeldung!$D$43&amp;", "&amp;Anmeldung!$E$43&amp;" / "&amp;Anmeldung!$G$43&amp;" / "&amp;Anmeldung!$J$43)&lt;&gt;Anmeldung!$P$21),Anmeldung!$B$43&amp;": "&amp;Anmeldung!$D$43&amp;", "&amp;Anmeldung!$E$43&amp;" / "&amp;Anmeldung!$G$43&amp;" / "&amp;Anmeldung!$J$43,"")</f>
        <v/>
      </c>
      <c r="AA30" t="str">
        <f>IF(AND(36&lt;&gt;14,Anmeldung!$D$43&lt;&gt;"",Anmeldung!$G$43=Anmeldung!$G$21,Anmeldung!$J$43=Anmeldung!$J$21,(Anmeldung!$B$43&amp;": "&amp;Anmeldung!$D$43&amp;", "&amp;Anmeldung!$E$43&amp;" / "&amp;Anmeldung!$G$43&amp;" / "&amp;Anmeldung!$J$43)&lt;&gt;Anmeldung!$O$21),Anmeldung!$B$43&amp;": "&amp;Anmeldung!$D$43&amp;", "&amp;Anmeldung!$E$43&amp;" / "&amp;Anmeldung!$G$43&amp;" / "&amp;Anmeldung!$J$43,"")</f>
        <v/>
      </c>
      <c r="AB30" t="str">
        <f>IF(AND(36&lt;&gt;14,Anmeldung!$D$43&lt;&gt;"",Anmeldung!$G$43&lt;&gt;Anmeldung!$G$21,(Anmeldung!$B$43&amp;": "&amp;Anmeldung!$D$43&amp;", "&amp;Anmeldung!$E$43&amp;" / "&amp;Anmeldung!$G$43&amp;" / "&amp;Anmeldung!$J$43)&lt;&gt;Anmeldung!$S$21),Anmeldung!$B$43&amp;": "&amp;Anmeldung!$D$43&amp;", "&amp;Anmeldung!$E$43&amp;" / "&amp;Anmeldung!$G$43&amp;" / "&amp;Anmeldung!$J$43,"")</f>
        <v/>
      </c>
      <c r="AC30" t="str">
        <f>IF(AND(36&lt;&gt;14,Anmeldung!$D$43&lt;&gt;"",(Anmeldung!$B$43&amp;": "&amp;Anmeldung!$D$43&amp;", "&amp;Anmeldung!$E$43&amp;" / "&amp;Anmeldung!$G$43&amp;" / "&amp;Anmeldung!$J$43)&lt;&gt;Anmeldung!$R$21),Anmeldung!$B$43&amp;": "&amp;Anmeldung!$D$43&amp;", "&amp;Anmeldung!$E$43&amp;" / "&amp;Anmeldung!$G$43&amp;" / "&amp;Anmeldung!$J$43,"")</f>
        <v/>
      </c>
      <c r="AD30" t="str">
        <f>IF(AND(35&lt;&gt;13,Anmeldung!$D$43&lt;&gt;"",Anmeldung!$U$43="Ja",Anmeldung!$G$43=Anmeldung!$G$21,Anmeldung!$J$43=Anmeldung!$J$21),Anmeldung!$B$43&amp;": "&amp;Anmeldung!$D$43&amp;", "&amp;Anmeldung!$E$43&amp;" / "&amp;Anmeldung!$G$43&amp;" / "&amp;Anmeldung!$J$43,"")</f>
        <v/>
      </c>
      <c r="AG30" t="str">
        <f>IF(AND(36&lt;&gt;15,Anmeldung!$D$43&lt;&gt;"",Anmeldung!$G$43=Anmeldung!$G$22,Anmeldung!$J$43=Anmeldung!$J$22),Anmeldung!$B$43&amp;": "&amp;Anmeldung!$D$43&amp;", "&amp;Anmeldung!$E$43&amp;" / "&amp;Anmeldung!$G$43&amp;" / "&amp;Anmeldung!$J$43,"")</f>
        <v/>
      </c>
      <c r="AH30" t="str">
        <f>IF(AND(36&lt;&gt;15,Anmeldung!$D$43&lt;&gt;"",Anmeldung!$G$43=Anmeldung!$G$22,Anmeldung!$J$43=Anmeldung!$J$22,(Anmeldung!$B$43&amp;": "&amp;Anmeldung!$D$43&amp;", "&amp;Anmeldung!$E$43&amp;" / "&amp;Anmeldung!$G$43&amp;" / "&amp;Anmeldung!$J$43)&lt;&gt;Anmeldung!$P$22),Anmeldung!$B$43&amp;": "&amp;Anmeldung!$D$43&amp;", "&amp;Anmeldung!$E$43&amp;" / "&amp;Anmeldung!$G$43&amp;" / "&amp;Anmeldung!$J$43,"")</f>
        <v/>
      </c>
      <c r="AI30" t="str">
        <f>IF(AND(36&lt;&gt;15,Anmeldung!$D$43&lt;&gt;"",Anmeldung!$G$43=Anmeldung!$G$22,Anmeldung!$J$43=Anmeldung!$J$22,(Anmeldung!$B$43&amp;": "&amp;Anmeldung!$D$43&amp;", "&amp;Anmeldung!$E$43&amp;" / "&amp;Anmeldung!$G$43&amp;" / "&amp;Anmeldung!$J$43)&lt;&gt;Anmeldung!$O$22),Anmeldung!$B$43&amp;": "&amp;Anmeldung!$D$43&amp;", "&amp;Anmeldung!$E$43&amp;" / "&amp;Anmeldung!$G$43&amp;" / "&amp;Anmeldung!$J$43,"")</f>
        <v/>
      </c>
      <c r="AJ30" t="str">
        <f>IF(AND(36&lt;&gt;15,Anmeldung!$D$43&lt;&gt;"",Anmeldung!$G$43&lt;&gt;Anmeldung!$G$22,(Anmeldung!$B$43&amp;": "&amp;Anmeldung!$D$43&amp;", "&amp;Anmeldung!$E$43&amp;" / "&amp;Anmeldung!$G$43&amp;" / "&amp;Anmeldung!$J$43)&lt;&gt;Anmeldung!$S$22),Anmeldung!$B$43&amp;": "&amp;Anmeldung!$D$43&amp;", "&amp;Anmeldung!$E$43&amp;" / "&amp;Anmeldung!$G$43&amp;" / "&amp;Anmeldung!$J$43,"")</f>
        <v/>
      </c>
      <c r="AK30" t="str">
        <f>IF(AND(36&lt;&gt;15,Anmeldung!$D$43&lt;&gt;"",(Anmeldung!$B$43&amp;": "&amp;Anmeldung!$D$43&amp;", "&amp;Anmeldung!$E$43&amp;" / "&amp;Anmeldung!$G$43&amp;" / "&amp;Anmeldung!$J$43)&lt;&gt;Anmeldung!$R$22),Anmeldung!$B$43&amp;": "&amp;Anmeldung!$D$43&amp;", "&amp;Anmeldung!$E$43&amp;" / "&amp;Anmeldung!$G$43&amp;" / "&amp;Anmeldung!$J$43,"")</f>
        <v/>
      </c>
      <c r="AL30" t="str">
        <f>IF(AND(35&lt;&gt;14,Anmeldung!$D$43&lt;&gt;"",Anmeldung!$U$43="Ja",Anmeldung!$G$43=Anmeldung!$G$22,Anmeldung!$J$43=Anmeldung!$J$22),Anmeldung!$B$43&amp;": "&amp;Anmeldung!$D$43&amp;", "&amp;Anmeldung!$E$43&amp;" / "&amp;Anmeldung!$G$43&amp;" / "&amp;Anmeldung!$J$43,"")</f>
        <v/>
      </c>
      <c r="AO30" t="str">
        <f>IF(AND(36&lt;&gt;16,Anmeldung!$D$43&lt;&gt;"",Anmeldung!$G$43=Anmeldung!$G$23,Anmeldung!$J$43=Anmeldung!$J$23),Anmeldung!$B$43&amp;": "&amp;Anmeldung!$D$43&amp;", "&amp;Anmeldung!$E$43&amp;" / "&amp;Anmeldung!$G$43&amp;" / "&amp;Anmeldung!$J$43,"")</f>
        <v/>
      </c>
      <c r="AP30" t="str">
        <f>IF(AND(36&lt;&gt;16,Anmeldung!$D$43&lt;&gt;"",Anmeldung!$G$43=Anmeldung!$G$23,Anmeldung!$J$43=Anmeldung!$J$23,(Anmeldung!$B$43&amp;": "&amp;Anmeldung!$D$43&amp;", "&amp;Anmeldung!$E$43&amp;" / "&amp;Anmeldung!$G$43&amp;" / "&amp;Anmeldung!$J$43)&lt;&gt;Anmeldung!$P$23),Anmeldung!$B$43&amp;": "&amp;Anmeldung!$D$43&amp;", "&amp;Anmeldung!$E$43&amp;" / "&amp;Anmeldung!$G$43&amp;" / "&amp;Anmeldung!$J$43,"")</f>
        <v/>
      </c>
      <c r="AQ30" t="str">
        <f>IF(AND(36&lt;&gt;16,Anmeldung!$D$43&lt;&gt;"",Anmeldung!$G$43=Anmeldung!$G$23,Anmeldung!$J$43=Anmeldung!$J$23,(Anmeldung!$B$43&amp;": "&amp;Anmeldung!$D$43&amp;", "&amp;Anmeldung!$E$43&amp;" / "&amp;Anmeldung!$G$43&amp;" / "&amp;Anmeldung!$J$43)&lt;&gt;Anmeldung!$O$23),Anmeldung!$B$43&amp;": "&amp;Anmeldung!$D$43&amp;", "&amp;Anmeldung!$E$43&amp;" / "&amp;Anmeldung!$G$43&amp;" / "&amp;Anmeldung!$J$43,"")</f>
        <v/>
      </c>
      <c r="AR30" t="str">
        <f>IF(AND(36&lt;&gt;16,Anmeldung!$D$43&lt;&gt;"",Anmeldung!$G$43&lt;&gt;Anmeldung!$G$23,(Anmeldung!$B$43&amp;": "&amp;Anmeldung!$D$43&amp;", "&amp;Anmeldung!$E$43&amp;" / "&amp;Anmeldung!$G$43&amp;" / "&amp;Anmeldung!$J$43)&lt;&gt;Anmeldung!$S$23),Anmeldung!$B$43&amp;": "&amp;Anmeldung!$D$43&amp;", "&amp;Anmeldung!$E$43&amp;" / "&amp;Anmeldung!$G$43&amp;" / "&amp;Anmeldung!$J$43,"")</f>
        <v/>
      </c>
      <c r="AS30" t="str">
        <f>IF(AND(36&lt;&gt;16,Anmeldung!$D$43&lt;&gt;"",(Anmeldung!$B$43&amp;": "&amp;Anmeldung!$D$43&amp;", "&amp;Anmeldung!$E$43&amp;" / "&amp;Anmeldung!$G$43&amp;" / "&amp;Anmeldung!$J$43)&lt;&gt;Anmeldung!$R$23),Anmeldung!$B$43&amp;": "&amp;Anmeldung!$D$43&amp;", "&amp;Anmeldung!$E$43&amp;" / "&amp;Anmeldung!$G$43&amp;" / "&amp;Anmeldung!$J$43,"")</f>
        <v/>
      </c>
      <c r="AT30" t="str">
        <f>IF(AND(35&lt;&gt;15,Anmeldung!$D$43&lt;&gt;"",Anmeldung!$U$43="Ja",Anmeldung!$G$43=Anmeldung!$G$23,Anmeldung!$J$43=Anmeldung!$J$23),Anmeldung!$B$43&amp;": "&amp;Anmeldung!$D$43&amp;", "&amp;Anmeldung!$E$43&amp;" / "&amp;Anmeldung!$G$43&amp;" / "&amp;Anmeldung!$J$43,"")</f>
        <v/>
      </c>
      <c r="AW30" t="str">
        <f>IF(AND(36&lt;&gt;17,Anmeldung!$D$43&lt;&gt;"",Anmeldung!$G$43=Anmeldung!$G$24,Anmeldung!$J$43=Anmeldung!$J$24),Anmeldung!$B$43&amp;": "&amp;Anmeldung!$D$43&amp;", "&amp;Anmeldung!$E$43&amp;" / "&amp;Anmeldung!$G$43&amp;" / "&amp;Anmeldung!$J$43,"")</f>
        <v/>
      </c>
      <c r="AX30" t="str">
        <f>IF(AND(36&lt;&gt;17,Anmeldung!$D$43&lt;&gt;"",Anmeldung!$G$43=Anmeldung!$G$24,Anmeldung!$J$43=Anmeldung!$J$24,(Anmeldung!$B$43&amp;": "&amp;Anmeldung!$D$43&amp;", "&amp;Anmeldung!$E$43&amp;" / "&amp;Anmeldung!$G$43&amp;" / "&amp;Anmeldung!$J$43)&lt;&gt;Anmeldung!$P$24),Anmeldung!$B$43&amp;": "&amp;Anmeldung!$D$43&amp;", "&amp;Anmeldung!$E$43&amp;" / "&amp;Anmeldung!$G$43&amp;" / "&amp;Anmeldung!$J$43,"")</f>
        <v/>
      </c>
      <c r="AY30" t="str">
        <f>IF(AND(36&lt;&gt;17,Anmeldung!$D$43&lt;&gt;"",Anmeldung!$G$43=Anmeldung!$G$24,Anmeldung!$J$43=Anmeldung!$J$24,(Anmeldung!$B$43&amp;": "&amp;Anmeldung!$D$43&amp;", "&amp;Anmeldung!$E$43&amp;" / "&amp;Anmeldung!$G$43&amp;" / "&amp;Anmeldung!$J$43)&lt;&gt;Anmeldung!$O$24),Anmeldung!$B$43&amp;": "&amp;Anmeldung!$D$43&amp;", "&amp;Anmeldung!$E$43&amp;" / "&amp;Anmeldung!$G$43&amp;" / "&amp;Anmeldung!$J$43,"")</f>
        <v/>
      </c>
      <c r="AZ30" t="str">
        <f>IF(AND(36&lt;&gt;17,Anmeldung!$D$43&lt;&gt;"",Anmeldung!$G$43&lt;&gt;Anmeldung!$G$24,(Anmeldung!$B$43&amp;": "&amp;Anmeldung!$D$43&amp;", "&amp;Anmeldung!$E$43&amp;" / "&amp;Anmeldung!$G$43&amp;" / "&amp;Anmeldung!$J$43)&lt;&gt;Anmeldung!$S$24),Anmeldung!$B$43&amp;": "&amp;Anmeldung!$D$43&amp;", "&amp;Anmeldung!$E$43&amp;" / "&amp;Anmeldung!$G$43&amp;" / "&amp;Anmeldung!$J$43,"")</f>
        <v/>
      </c>
      <c r="BA30" t="str">
        <f>IF(AND(36&lt;&gt;17,Anmeldung!$D$43&lt;&gt;"",(Anmeldung!$B$43&amp;": "&amp;Anmeldung!$D$43&amp;", "&amp;Anmeldung!$E$43&amp;" / "&amp;Anmeldung!$G$43&amp;" / "&amp;Anmeldung!$J$43)&lt;&gt;Anmeldung!$R$24),Anmeldung!$B$43&amp;": "&amp;Anmeldung!$D$43&amp;", "&amp;Anmeldung!$E$43&amp;" / "&amp;Anmeldung!$G$43&amp;" / "&amp;Anmeldung!$J$43,"")</f>
        <v/>
      </c>
      <c r="BB30" t="str">
        <f>IF(AND(35&lt;&gt;16,Anmeldung!$D$43&lt;&gt;"",Anmeldung!$U$43="Ja",Anmeldung!$G$43=Anmeldung!$G$24,Anmeldung!$J$43=Anmeldung!$J$24),Anmeldung!$B$43&amp;": "&amp;Anmeldung!$D$43&amp;", "&amp;Anmeldung!$E$43&amp;" / "&amp;Anmeldung!$G$43&amp;" / "&amp;Anmeldung!$J$43,"")</f>
        <v/>
      </c>
      <c r="BE30" t="str">
        <f>IF(AND(36&lt;&gt;18,Anmeldung!$D$43&lt;&gt;"",Anmeldung!$G$43=Anmeldung!$G$25,Anmeldung!$J$43=Anmeldung!$J$25),Anmeldung!$B$43&amp;": "&amp;Anmeldung!$D$43&amp;", "&amp;Anmeldung!$E$43&amp;" / "&amp;Anmeldung!$G$43&amp;" / "&amp;Anmeldung!$J$43,"")</f>
        <v/>
      </c>
      <c r="BF30" t="str">
        <f>IF(AND(36&lt;&gt;18,Anmeldung!$D$43&lt;&gt;"",Anmeldung!$G$43=Anmeldung!$G$25,Anmeldung!$J$43=Anmeldung!$J$25,(Anmeldung!$B$43&amp;": "&amp;Anmeldung!$D$43&amp;", "&amp;Anmeldung!$E$43&amp;" / "&amp;Anmeldung!$G$43&amp;" / "&amp;Anmeldung!$J$43)&lt;&gt;Anmeldung!$P$25),Anmeldung!$B$43&amp;": "&amp;Anmeldung!$D$43&amp;", "&amp;Anmeldung!$E$43&amp;" / "&amp;Anmeldung!$G$43&amp;" / "&amp;Anmeldung!$J$43,"")</f>
        <v/>
      </c>
      <c r="BG30" t="str">
        <f>IF(AND(36&lt;&gt;18,Anmeldung!$D$43&lt;&gt;"",Anmeldung!$G$43=Anmeldung!$G$25,Anmeldung!$J$43=Anmeldung!$J$25,(Anmeldung!$B$43&amp;": "&amp;Anmeldung!$D$43&amp;", "&amp;Anmeldung!$E$43&amp;" / "&amp;Anmeldung!$G$43&amp;" / "&amp;Anmeldung!$J$43)&lt;&gt;Anmeldung!$O$25),Anmeldung!$B$43&amp;": "&amp;Anmeldung!$D$43&amp;", "&amp;Anmeldung!$E$43&amp;" / "&amp;Anmeldung!$G$43&amp;" / "&amp;Anmeldung!$J$43,"")</f>
        <v/>
      </c>
      <c r="BH30" t="str">
        <f>IF(AND(36&lt;&gt;18,Anmeldung!$D$43&lt;&gt;"",Anmeldung!$G$43&lt;&gt;Anmeldung!$G$25,(Anmeldung!$B$43&amp;": "&amp;Anmeldung!$D$43&amp;", "&amp;Anmeldung!$E$43&amp;" / "&amp;Anmeldung!$G$43&amp;" / "&amp;Anmeldung!$J$43)&lt;&gt;Anmeldung!$S$25),Anmeldung!$B$43&amp;": "&amp;Anmeldung!$D$43&amp;", "&amp;Anmeldung!$E$43&amp;" / "&amp;Anmeldung!$G$43&amp;" / "&amp;Anmeldung!$J$43,"")</f>
        <v/>
      </c>
      <c r="BI30" t="str">
        <f>IF(AND(36&lt;&gt;18,Anmeldung!$D$43&lt;&gt;"",(Anmeldung!$B$43&amp;": "&amp;Anmeldung!$D$43&amp;", "&amp;Anmeldung!$E$43&amp;" / "&amp;Anmeldung!$G$43&amp;" / "&amp;Anmeldung!$J$43)&lt;&gt;Anmeldung!$R$25),Anmeldung!$B$43&amp;": "&amp;Anmeldung!$D$43&amp;", "&amp;Anmeldung!$E$43&amp;" / "&amp;Anmeldung!$G$43&amp;" / "&amp;Anmeldung!$J$43,"")</f>
        <v/>
      </c>
      <c r="BJ30" t="str">
        <f>IF(AND(35&lt;&gt;17,Anmeldung!$D$43&lt;&gt;"",Anmeldung!$U$43="Ja",Anmeldung!$G$43=Anmeldung!$G$25,Anmeldung!$J$43=Anmeldung!$J$25),Anmeldung!$B$43&amp;": "&amp;Anmeldung!$D$43&amp;", "&amp;Anmeldung!$E$43&amp;" / "&amp;Anmeldung!$G$43&amp;" / "&amp;Anmeldung!$J$43,"")</f>
        <v/>
      </c>
      <c r="BM30" t="str">
        <f>IF(AND(36&lt;&gt;19,Anmeldung!$D$43&lt;&gt;"",Anmeldung!$G$43=Anmeldung!$G$26,Anmeldung!$J$43=Anmeldung!$J$26),Anmeldung!$B$43&amp;": "&amp;Anmeldung!$D$43&amp;", "&amp;Anmeldung!$E$43&amp;" / "&amp;Anmeldung!$G$43&amp;" / "&amp;Anmeldung!$J$43,"")</f>
        <v/>
      </c>
      <c r="BN30" t="str">
        <f>IF(AND(36&lt;&gt;19,Anmeldung!$D$43&lt;&gt;"",Anmeldung!$G$43=Anmeldung!$G$26,Anmeldung!$J$43=Anmeldung!$J$26,(Anmeldung!$B$43&amp;": "&amp;Anmeldung!$D$43&amp;", "&amp;Anmeldung!$E$43&amp;" / "&amp;Anmeldung!$G$43&amp;" / "&amp;Anmeldung!$J$43)&lt;&gt;Anmeldung!$P$26),Anmeldung!$B$43&amp;": "&amp;Anmeldung!$D$43&amp;", "&amp;Anmeldung!$E$43&amp;" / "&amp;Anmeldung!$G$43&amp;" / "&amp;Anmeldung!$J$43,"")</f>
        <v/>
      </c>
      <c r="BO30" t="str">
        <f>IF(AND(36&lt;&gt;19,Anmeldung!$D$43&lt;&gt;"",Anmeldung!$G$43=Anmeldung!$G$26,Anmeldung!$J$43=Anmeldung!$J$26,(Anmeldung!$B$43&amp;": "&amp;Anmeldung!$D$43&amp;", "&amp;Anmeldung!$E$43&amp;" / "&amp;Anmeldung!$G$43&amp;" / "&amp;Anmeldung!$J$43)&lt;&gt;Anmeldung!$O$26),Anmeldung!$B$43&amp;": "&amp;Anmeldung!$D$43&amp;", "&amp;Anmeldung!$E$43&amp;" / "&amp;Anmeldung!$G$43&amp;" / "&amp;Anmeldung!$J$43,"")</f>
        <v/>
      </c>
      <c r="BP30" t="str">
        <f>IF(AND(36&lt;&gt;19,Anmeldung!$D$43&lt;&gt;"",Anmeldung!$G$43&lt;&gt;Anmeldung!$G$26,(Anmeldung!$B$43&amp;": "&amp;Anmeldung!$D$43&amp;", "&amp;Anmeldung!$E$43&amp;" / "&amp;Anmeldung!$G$43&amp;" / "&amp;Anmeldung!$J$43)&lt;&gt;Anmeldung!$S$26),Anmeldung!$B$43&amp;": "&amp;Anmeldung!$D$43&amp;", "&amp;Anmeldung!$E$43&amp;" / "&amp;Anmeldung!$G$43&amp;" / "&amp;Anmeldung!$J$43,"")</f>
        <v/>
      </c>
      <c r="BQ30" t="str">
        <f>IF(AND(36&lt;&gt;19,Anmeldung!$D$43&lt;&gt;"",(Anmeldung!$B$43&amp;": "&amp;Anmeldung!$D$43&amp;", "&amp;Anmeldung!$E$43&amp;" / "&amp;Anmeldung!$G$43&amp;" / "&amp;Anmeldung!$J$43)&lt;&gt;Anmeldung!$R$26),Anmeldung!$B$43&amp;": "&amp;Anmeldung!$D$43&amp;", "&amp;Anmeldung!$E$43&amp;" / "&amp;Anmeldung!$G$43&amp;" / "&amp;Anmeldung!$J$43,"")</f>
        <v/>
      </c>
      <c r="BR30" t="str">
        <f>IF(AND(35&lt;&gt;18,Anmeldung!$D$43&lt;&gt;"",Anmeldung!$U$43="Ja",Anmeldung!$G$43=Anmeldung!$G$26,Anmeldung!$J$43=Anmeldung!$J$26),Anmeldung!$B$43&amp;": "&amp;Anmeldung!$D$43&amp;", "&amp;Anmeldung!$E$43&amp;" / "&amp;Anmeldung!$G$43&amp;" / "&amp;Anmeldung!$J$43,"")</f>
        <v/>
      </c>
      <c r="BU30" t="str">
        <f>IF(AND(36&lt;&gt;20,Anmeldung!$D$43&lt;&gt;"",Anmeldung!$G$43=Anmeldung!$G$27,Anmeldung!$J$43=Anmeldung!$J$27),Anmeldung!$B$43&amp;": "&amp;Anmeldung!$D$43&amp;", "&amp;Anmeldung!$E$43&amp;" / "&amp;Anmeldung!$G$43&amp;" / "&amp;Anmeldung!$J$43,"")</f>
        <v/>
      </c>
      <c r="BV30" t="str">
        <f>IF(AND(36&lt;&gt;20,Anmeldung!$D$43&lt;&gt;"",Anmeldung!$G$43=Anmeldung!$G$27,Anmeldung!$J$43=Anmeldung!$J$27,(Anmeldung!$B$43&amp;": "&amp;Anmeldung!$D$43&amp;", "&amp;Anmeldung!$E$43&amp;" / "&amp;Anmeldung!$G$43&amp;" / "&amp;Anmeldung!$J$43)&lt;&gt;Anmeldung!$P$27),Anmeldung!$B$43&amp;": "&amp;Anmeldung!$D$43&amp;", "&amp;Anmeldung!$E$43&amp;" / "&amp;Anmeldung!$G$43&amp;" / "&amp;Anmeldung!$J$43,"")</f>
        <v/>
      </c>
      <c r="BW30" t="str">
        <f>IF(AND(36&lt;&gt;20,Anmeldung!$D$43&lt;&gt;"",Anmeldung!$G$43=Anmeldung!$G$27,Anmeldung!$J$43=Anmeldung!$J$27,(Anmeldung!$B$43&amp;": "&amp;Anmeldung!$D$43&amp;", "&amp;Anmeldung!$E$43&amp;" / "&amp;Anmeldung!$G$43&amp;" / "&amp;Anmeldung!$J$43)&lt;&gt;Anmeldung!$O$27),Anmeldung!$B$43&amp;": "&amp;Anmeldung!$D$43&amp;", "&amp;Anmeldung!$E$43&amp;" / "&amp;Anmeldung!$G$43&amp;" / "&amp;Anmeldung!$J$43,"")</f>
        <v/>
      </c>
      <c r="BX30" t="str">
        <f>IF(AND(36&lt;&gt;20,Anmeldung!$D$43&lt;&gt;"",Anmeldung!$G$43&lt;&gt;Anmeldung!$G$27,(Anmeldung!$B$43&amp;": "&amp;Anmeldung!$D$43&amp;", "&amp;Anmeldung!$E$43&amp;" / "&amp;Anmeldung!$G$43&amp;" / "&amp;Anmeldung!$J$43)&lt;&gt;Anmeldung!$S$27),Anmeldung!$B$43&amp;": "&amp;Anmeldung!$D$43&amp;", "&amp;Anmeldung!$E$43&amp;" / "&amp;Anmeldung!$G$43&amp;" / "&amp;Anmeldung!$J$43,"")</f>
        <v/>
      </c>
      <c r="BY30" t="str">
        <f>IF(AND(36&lt;&gt;20,Anmeldung!$D$43&lt;&gt;"",(Anmeldung!$B$43&amp;": "&amp;Anmeldung!$D$43&amp;", "&amp;Anmeldung!$E$43&amp;" / "&amp;Anmeldung!$G$43&amp;" / "&amp;Anmeldung!$J$43)&lt;&gt;Anmeldung!$R$27),Anmeldung!$B$43&amp;": "&amp;Anmeldung!$D$43&amp;", "&amp;Anmeldung!$E$43&amp;" / "&amp;Anmeldung!$G$43&amp;" / "&amp;Anmeldung!$J$43,"")</f>
        <v/>
      </c>
      <c r="BZ30" t="str">
        <f>IF(AND(35&lt;&gt;19,Anmeldung!$D$43&lt;&gt;"",Anmeldung!$U$43="Ja",Anmeldung!$G$43=Anmeldung!$G$27,Anmeldung!$J$43=Anmeldung!$J$27),Anmeldung!$B$43&amp;": "&amp;Anmeldung!$D$43&amp;", "&amp;Anmeldung!$E$43&amp;" / "&amp;Anmeldung!$G$43&amp;" / "&amp;Anmeldung!$J$43,"")</f>
        <v/>
      </c>
      <c r="CC30" t="str">
        <f>IF(AND(36&lt;&gt;21,Anmeldung!$D$43&lt;&gt;"",Anmeldung!$G$43=Anmeldung!$G$28,Anmeldung!$J$43=Anmeldung!$J$28),Anmeldung!$B$43&amp;": "&amp;Anmeldung!$D$43&amp;", "&amp;Anmeldung!$E$43&amp;" / "&amp;Anmeldung!$G$43&amp;" / "&amp;Anmeldung!$J$43,"")</f>
        <v/>
      </c>
      <c r="CD30" t="str">
        <f>IF(AND(36&lt;&gt;21,Anmeldung!$D$43&lt;&gt;"",Anmeldung!$G$43=Anmeldung!$G$28,Anmeldung!$J$43=Anmeldung!$J$28,(Anmeldung!$B$43&amp;": "&amp;Anmeldung!$D$43&amp;", "&amp;Anmeldung!$E$43&amp;" / "&amp;Anmeldung!$G$43&amp;" / "&amp;Anmeldung!$J$43)&lt;&gt;Anmeldung!$P$28),Anmeldung!$B$43&amp;": "&amp;Anmeldung!$D$43&amp;", "&amp;Anmeldung!$E$43&amp;" / "&amp;Anmeldung!$G$43&amp;" / "&amp;Anmeldung!$J$43,"")</f>
        <v/>
      </c>
      <c r="CE30" t="str">
        <f>IF(AND(36&lt;&gt;21,Anmeldung!$D$43&lt;&gt;"",Anmeldung!$G$43=Anmeldung!$G$28,Anmeldung!$J$43=Anmeldung!$J$28,(Anmeldung!$B$43&amp;": "&amp;Anmeldung!$D$43&amp;", "&amp;Anmeldung!$E$43&amp;" / "&amp;Anmeldung!$G$43&amp;" / "&amp;Anmeldung!$J$43)&lt;&gt;Anmeldung!$O$28),Anmeldung!$B$43&amp;": "&amp;Anmeldung!$D$43&amp;", "&amp;Anmeldung!$E$43&amp;" / "&amp;Anmeldung!$G$43&amp;" / "&amp;Anmeldung!$J$43,"")</f>
        <v/>
      </c>
      <c r="CF30" t="str">
        <f>IF(AND(36&lt;&gt;21,Anmeldung!$D$43&lt;&gt;"",Anmeldung!$G$43&lt;&gt;Anmeldung!$G$28,(Anmeldung!$B$43&amp;": "&amp;Anmeldung!$D$43&amp;", "&amp;Anmeldung!$E$43&amp;" / "&amp;Anmeldung!$G$43&amp;" / "&amp;Anmeldung!$J$43)&lt;&gt;Anmeldung!$S$28),Anmeldung!$B$43&amp;": "&amp;Anmeldung!$D$43&amp;", "&amp;Anmeldung!$E$43&amp;" / "&amp;Anmeldung!$G$43&amp;" / "&amp;Anmeldung!$J$43,"")</f>
        <v/>
      </c>
      <c r="CG30" t="str">
        <f>IF(AND(36&lt;&gt;21,Anmeldung!$D$43&lt;&gt;"",(Anmeldung!$B$43&amp;": "&amp;Anmeldung!$D$43&amp;", "&amp;Anmeldung!$E$43&amp;" / "&amp;Anmeldung!$G$43&amp;" / "&amp;Anmeldung!$J$43)&lt;&gt;Anmeldung!$R$28),Anmeldung!$B$43&amp;": "&amp;Anmeldung!$D$43&amp;", "&amp;Anmeldung!$E$43&amp;" / "&amp;Anmeldung!$G$43&amp;" / "&amp;Anmeldung!$J$43,"")</f>
        <v/>
      </c>
      <c r="CH30" t="str">
        <f>IF(AND(35&lt;&gt;20,Anmeldung!$D$43&lt;&gt;"",Anmeldung!$U$43="Ja",Anmeldung!$G$43=Anmeldung!$G$28,Anmeldung!$J$43=Anmeldung!$J$28),Anmeldung!$B$43&amp;": "&amp;Anmeldung!$D$43&amp;", "&amp;Anmeldung!$E$43&amp;" / "&amp;Anmeldung!$G$43&amp;" / "&amp;Anmeldung!$J$43,"")</f>
        <v/>
      </c>
      <c r="CK30" t="str">
        <f>IF(AND(36&lt;&gt;22,Anmeldung!$D$43&lt;&gt;"",Anmeldung!$G$43=Anmeldung!$G$29,Anmeldung!$J$43=Anmeldung!$J$29),Anmeldung!$B$43&amp;": "&amp;Anmeldung!$D$43&amp;", "&amp;Anmeldung!$E$43&amp;" / "&amp;Anmeldung!$G$43&amp;" / "&amp;Anmeldung!$J$43,"")</f>
        <v/>
      </c>
      <c r="CL30" t="str">
        <f>IF(AND(36&lt;&gt;22,Anmeldung!$D$43&lt;&gt;"",Anmeldung!$G$43=Anmeldung!$G$29,Anmeldung!$J$43=Anmeldung!$J$29,(Anmeldung!$B$43&amp;": "&amp;Anmeldung!$D$43&amp;", "&amp;Anmeldung!$E$43&amp;" / "&amp;Anmeldung!$G$43&amp;" / "&amp;Anmeldung!$J$43)&lt;&gt;Anmeldung!$P$29),Anmeldung!$B$43&amp;": "&amp;Anmeldung!$D$43&amp;", "&amp;Anmeldung!$E$43&amp;" / "&amp;Anmeldung!$G$43&amp;" / "&amp;Anmeldung!$J$43,"")</f>
        <v/>
      </c>
      <c r="CM30" t="str">
        <f>IF(AND(36&lt;&gt;22,Anmeldung!$D$43&lt;&gt;"",Anmeldung!$G$43=Anmeldung!$G$29,Anmeldung!$J$43=Anmeldung!$J$29,(Anmeldung!$B$43&amp;": "&amp;Anmeldung!$D$43&amp;", "&amp;Anmeldung!$E$43&amp;" / "&amp;Anmeldung!$G$43&amp;" / "&amp;Anmeldung!$J$43)&lt;&gt;Anmeldung!$O$29),Anmeldung!$B$43&amp;": "&amp;Anmeldung!$D$43&amp;", "&amp;Anmeldung!$E$43&amp;" / "&amp;Anmeldung!$G$43&amp;" / "&amp;Anmeldung!$J$43,"")</f>
        <v/>
      </c>
      <c r="CN30" t="str">
        <f>IF(AND(36&lt;&gt;22,Anmeldung!$D$43&lt;&gt;"",Anmeldung!$G$43&lt;&gt;Anmeldung!$G$29,(Anmeldung!$B$43&amp;": "&amp;Anmeldung!$D$43&amp;", "&amp;Anmeldung!$E$43&amp;" / "&amp;Anmeldung!$G$43&amp;" / "&amp;Anmeldung!$J$43)&lt;&gt;Anmeldung!$S$29),Anmeldung!$B$43&amp;": "&amp;Anmeldung!$D$43&amp;", "&amp;Anmeldung!$E$43&amp;" / "&amp;Anmeldung!$G$43&amp;" / "&amp;Anmeldung!$J$43,"")</f>
        <v/>
      </c>
      <c r="CO30" t="str">
        <f>IF(AND(36&lt;&gt;22,Anmeldung!$D$43&lt;&gt;"",(Anmeldung!$B$43&amp;": "&amp;Anmeldung!$D$43&amp;", "&amp;Anmeldung!$E$43&amp;" / "&amp;Anmeldung!$G$43&amp;" / "&amp;Anmeldung!$J$43)&lt;&gt;Anmeldung!$R$29),Anmeldung!$B$43&amp;": "&amp;Anmeldung!$D$43&amp;", "&amp;Anmeldung!$E$43&amp;" / "&amp;Anmeldung!$G$43&amp;" / "&amp;Anmeldung!$J$43,"")</f>
        <v/>
      </c>
      <c r="CP30" t="str">
        <f>IF(AND(35&lt;&gt;21,Anmeldung!$D$43&lt;&gt;"",Anmeldung!$U$43="Ja",Anmeldung!$G$43=Anmeldung!$G$29,Anmeldung!$J$43=Anmeldung!$J$29),Anmeldung!$B$43&amp;": "&amp;Anmeldung!$D$43&amp;", "&amp;Anmeldung!$E$43&amp;" / "&amp;Anmeldung!$G$43&amp;" / "&amp;Anmeldung!$J$43,"")</f>
        <v/>
      </c>
      <c r="CS30" t="str">
        <f>IF(AND(36&lt;&gt;23,Anmeldung!$D$43&lt;&gt;"",Anmeldung!$G$43=Anmeldung!$G$30,Anmeldung!$J$43=Anmeldung!$J$30),Anmeldung!$B$43&amp;": "&amp;Anmeldung!$D$43&amp;", "&amp;Anmeldung!$E$43&amp;" / "&amp;Anmeldung!$G$43&amp;" / "&amp;Anmeldung!$J$43,"")</f>
        <v/>
      </c>
      <c r="CT30" t="str">
        <f>IF(AND(36&lt;&gt;23,Anmeldung!$D$43&lt;&gt;"",Anmeldung!$G$43=Anmeldung!$G$30,Anmeldung!$J$43=Anmeldung!$J$30,(Anmeldung!$B$43&amp;": "&amp;Anmeldung!$D$43&amp;", "&amp;Anmeldung!$E$43&amp;" / "&amp;Anmeldung!$G$43&amp;" / "&amp;Anmeldung!$J$43)&lt;&gt;Anmeldung!$P$30),Anmeldung!$B$43&amp;": "&amp;Anmeldung!$D$43&amp;", "&amp;Anmeldung!$E$43&amp;" / "&amp;Anmeldung!$G$43&amp;" / "&amp;Anmeldung!$J$43,"")</f>
        <v/>
      </c>
      <c r="CU30" t="str">
        <f>IF(AND(36&lt;&gt;23,Anmeldung!$D$43&lt;&gt;"",Anmeldung!$G$43=Anmeldung!$G$30,Anmeldung!$J$43=Anmeldung!$J$30,(Anmeldung!$B$43&amp;": "&amp;Anmeldung!$D$43&amp;", "&amp;Anmeldung!$E$43&amp;" / "&amp;Anmeldung!$G$43&amp;" / "&amp;Anmeldung!$J$43)&lt;&gt;Anmeldung!$O$30),Anmeldung!$B$43&amp;": "&amp;Anmeldung!$D$43&amp;", "&amp;Anmeldung!$E$43&amp;" / "&amp;Anmeldung!$G$43&amp;" / "&amp;Anmeldung!$J$43,"")</f>
        <v/>
      </c>
      <c r="CV30" t="str">
        <f>IF(AND(36&lt;&gt;23,Anmeldung!$D$43&lt;&gt;"",Anmeldung!$G$43&lt;&gt;Anmeldung!$G$30,(Anmeldung!$B$43&amp;": "&amp;Anmeldung!$D$43&amp;", "&amp;Anmeldung!$E$43&amp;" / "&amp;Anmeldung!$G$43&amp;" / "&amp;Anmeldung!$J$43)&lt;&gt;Anmeldung!$S$30),Anmeldung!$B$43&amp;": "&amp;Anmeldung!$D$43&amp;", "&amp;Anmeldung!$E$43&amp;" / "&amp;Anmeldung!$G$43&amp;" / "&amp;Anmeldung!$J$43,"")</f>
        <v/>
      </c>
      <c r="CW30" t="str">
        <f>IF(AND(36&lt;&gt;23,Anmeldung!$D$43&lt;&gt;"",(Anmeldung!$B$43&amp;": "&amp;Anmeldung!$D$43&amp;", "&amp;Anmeldung!$E$43&amp;" / "&amp;Anmeldung!$G$43&amp;" / "&amp;Anmeldung!$J$43)&lt;&gt;Anmeldung!$R$30),Anmeldung!$B$43&amp;": "&amp;Anmeldung!$D$43&amp;", "&amp;Anmeldung!$E$43&amp;" / "&amp;Anmeldung!$G$43&amp;" / "&amp;Anmeldung!$J$43,"")</f>
        <v/>
      </c>
      <c r="CX30" t="str">
        <f>IF(AND(35&lt;&gt;22,Anmeldung!$D$43&lt;&gt;"",Anmeldung!$U$43="Ja",Anmeldung!$G$43=Anmeldung!$G$30,Anmeldung!$J$43=Anmeldung!$J$30),Anmeldung!$B$43&amp;": "&amp;Anmeldung!$D$43&amp;", "&amp;Anmeldung!$E$43&amp;" / "&amp;Anmeldung!$G$43&amp;" / "&amp;Anmeldung!$J$43,"")</f>
        <v/>
      </c>
      <c r="DA30" t="str">
        <f>IF(AND(36&lt;&gt;24,Anmeldung!$D$43&lt;&gt;"",Anmeldung!$G$43=Anmeldung!$G$31,Anmeldung!$J$43=Anmeldung!$J$31),Anmeldung!$B$43&amp;": "&amp;Anmeldung!$D$43&amp;", "&amp;Anmeldung!$E$43&amp;" / "&amp;Anmeldung!$G$43&amp;" / "&amp;Anmeldung!$J$43,"")</f>
        <v/>
      </c>
      <c r="DB30" t="str">
        <f>IF(AND(36&lt;&gt;24,Anmeldung!$D$43&lt;&gt;"",Anmeldung!$G$43=Anmeldung!$G$31,Anmeldung!$J$43=Anmeldung!$J$31,(Anmeldung!$B$43&amp;": "&amp;Anmeldung!$D$43&amp;", "&amp;Anmeldung!$E$43&amp;" / "&amp;Anmeldung!$G$43&amp;" / "&amp;Anmeldung!$J$43)&lt;&gt;Anmeldung!$P$31),Anmeldung!$B$43&amp;": "&amp;Anmeldung!$D$43&amp;", "&amp;Anmeldung!$E$43&amp;" / "&amp;Anmeldung!$G$43&amp;" / "&amp;Anmeldung!$J$43,"")</f>
        <v/>
      </c>
      <c r="DC30" t="str">
        <f>IF(AND(36&lt;&gt;24,Anmeldung!$D$43&lt;&gt;"",Anmeldung!$G$43=Anmeldung!$G$31,Anmeldung!$J$43=Anmeldung!$J$31,(Anmeldung!$B$43&amp;": "&amp;Anmeldung!$D$43&amp;", "&amp;Anmeldung!$E$43&amp;" / "&amp;Anmeldung!$G$43&amp;" / "&amp;Anmeldung!$J$43)&lt;&gt;Anmeldung!$O$31),Anmeldung!$B$43&amp;": "&amp;Anmeldung!$D$43&amp;", "&amp;Anmeldung!$E$43&amp;" / "&amp;Anmeldung!$G$43&amp;" / "&amp;Anmeldung!$J$43,"")</f>
        <v/>
      </c>
      <c r="DD30" t="str">
        <f>IF(AND(36&lt;&gt;24,Anmeldung!$D$43&lt;&gt;"",Anmeldung!$G$43&lt;&gt;Anmeldung!$G$31,(Anmeldung!$B$43&amp;": "&amp;Anmeldung!$D$43&amp;", "&amp;Anmeldung!$E$43&amp;" / "&amp;Anmeldung!$G$43&amp;" / "&amp;Anmeldung!$J$43)&lt;&gt;Anmeldung!$S$31),Anmeldung!$B$43&amp;": "&amp;Anmeldung!$D$43&amp;", "&amp;Anmeldung!$E$43&amp;" / "&amp;Anmeldung!$G$43&amp;" / "&amp;Anmeldung!$J$43,"")</f>
        <v/>
      </c>
      <c r="DE30" t="str">
        <f>IF(AND(36&lt;&gt;24,Anmeldung!$D$43&lt;&gt;"",(Anmeldung!$B$43&amp;": "&amp;Anmeldung!$D$43&amp;", "&amp;Anmeldung!$E$43&amp;" / "&amp;Anmeldung!$G$43&amp;" / "&amp;Anmeldung!$J$43)&lt;&gt;Anmeldung!$R$31),Anmeldung!$B$43&amp;": "&amp;Anmeldung!$D$43&amp;", "&amp;Anmeldung!$E$43&amp;" / "&amp;Anmeldung!$G$43&amp;" / "&amp;Anmeldung!$J$43,"")</f>
        <v/>
      </c>
      <c r="DF30" t="str">
        <f>IF(AND(35&lt;&gt;23,Anmeldung!$D$43&lt;&gt;"",Anmeldung!$U$43="Ja",Anmeldung!$G$43=Anmeldung!$G$31,Anmeldung!$J$43=Anmeldung!$J$31),Anmeldung!$B$43&amp;": "&amp;Anmeldung!$D$43&amp;", "&amp;Anmeldung!$E$43&amp;" / "&amp;Anmeldung!$G$43&amp;" / "&amp;Anmeldung!$J$43,"")</f>
        <v/>
      </c>
      <c r="DI30" t="str">
        <f>IF(AND(36&lt;&gt;25,Anmeldung!$D$43&lt;&gt;"",Anmeldung!$G$43=Anmeldung!$G$32,Anmeldung!$J$43=Anmeldung!$J$32),Anmeldung!$B$43&amp;": "&amp;Anmeldung!$D$43&amp;", "&amp;Anmeldung!$E$43&amp;" / "&amp;Anmeldung!$G$43&amp;" / "&amp;Anmeldung!$J$43,"")</f>
        <v/>
      </c>
      <c r="DJ30" t="str">
        <f>IF(AND(36&lt;&gt;25,Anmeldung!$D$43&lt;&gt;"",Anmeldung!$G$43=Anmeldung!$G$32,Anmeldung!$J$43=Anmeldung!$J$32,(Anmeldung!$B$43&amp;": "&amp;Anmeldung!$D$43&amp;", "&amp;Anmeldung!$E$43&amp;" / "&amp;Anmeldung!$G$43&amp;" / "&amp;Anmeldung!$J$43)&lt;&gt;Anmeldung!$P$32),Anmeldung!$B$43&amp;": "&amp;Anmeldung!$D$43&amp;", "&amp;Anmeldung!$E$43&amp;" / "&amp;Anmeldung!$G$43&amp;" / "&amp;Anmeldung!$J$43,"")</f>
        <v/>
      </c>
      <c r="DK30" t="str">
        <f>IF(AND(36&lt;&gt;25,Anmeldung!$D$43&lt;&gt;"",Anmeldung!$G$43=Anmeldung!$G$32,Anmeldung!$J$43=Anmeldung!$J$32,(Anmeldung!$B$43&amp;": "&amp;Anmeldung!$D$43&amp;", "&amp;Anmeldung!$E$43&amp;" / "&amp;Anmeldung!$G$43&amp;" / "&amp;Anmeldung!$J$43)&lt;&gt;Anmeldung!$O$32),Anmeldung!$B$43&amp;": "&amp;Anmeldung!$D$43&amp;", "&amp;Anmeldung!$E$43&amp;" / "&amp;Anmeldung!$G$43&amp;" / "&amp;Anmeldung!$J$43,"")</f>
        <v/>
      </c>
      <c r="DL30" t="str">
        <f>IF(AND(36&lt;&gt;25,Anmeldung!$D$43&lt;&gt;"",Anmeldung!$G$43&lt;&gt;Anmeldung!$G$32,(Anmeldung!$B$43&amp;": "&amp;Anmeldung!$D$43&amp;", "&amp;Anmeldung!$E$43&amp;" / "&amp;Anmeldung!$G$43&amp;" / "&amp;Anmeldung!$J$43)&lt;&gt;Anmeldung!$S$32),Anmeldung!$B$43&amp;": "&amp;Anmeldung!$D$43&amp;", "&amp;Anmeldung!$E$43&amp;" / "&amp;Anmeldung!$G$43&amp;" / "&amp;Anmeldung!$J$43,"")</f>
        <v/>
      </c>
      <c r="DM30" t="str">
        <f>IF(AND(36&lt;&gt;25,Anmeldung!$D$43&lt;&gt;"",(Anmeldung!$B$43&amp;": "&amp;Anmeldung!$D$43&amp;", "&amp;Anmeldung!$E$43&amp;" / "&amp;Anmeldung!$G$43&amp;" / "&amp;Anmeldung!$J$43)&lt;&gt;Anmeldung!$R$32),Anmeldung!$B$43&amp;": "&amp;Anmeldung!$D$43&amp;", "&amp;Anmeldung!$E$43&amp;" / "&amp;Anmeldung!$G$43&amp;" / "&amp;Anmeldung!$J$43,"")</f>
        <v/>
      </c>
      <c r="DN30" t="str">
        <f>IF(AND(35&lt;&gt;24,Anmeldung!$D$43&lt;&gt;"",Anmeldung!$U$43="Ja",Anmeldung!$G$43=Anmeldung!$G$32,Anmeldung!$J$43=Anmeldung!$J$32),Anmeldung!$B$43&amp;": "&amp;Anmeldung!$D$43&amp;", "&amp;Anmeldung!$E$43&amp;" / "&amp;Anmeldung!$G$43&amp;" / "&amp;Anmeldung!$J$43,"")</f>
        <v/>
      </c>
      <c r="DQ30" t="str">
        <f>IF(AND(36&lt;&gt;26,Anmeldung!$D$43&lt;&gt;"",Anmeldung!$G$43=Anmeldung!$G$33,Anmeldung!$J$43=Anmeldung!$J$33),Anmeldung!$B$43&amp;": "&amp;Anmeldung!$D$43&amp;", "&amp;Anmeldung!$E$43&amp;" / "&amp;Anmeldung!$G$43&amp;" / "&amp;Anmeldung!$J$43,"")</f>
        <v/>
      </c>
      <c r="DR30" t="str">
        <f>IF(AND(36&lt;&gt;26,Anmeldung!$D$43&lt;&gt;"",Anmeldung!$G$43=Anmeldung!$G$33,Anmeldung!$J$43=Anmeldung!$J$33,(Anmeldung!$B$43&amp;": "&amp;Anmeldung!$D$43&amp;", "&amp;Anmeldung!$E$43&amp;" / "&amp;Anmeldung!$G$43&amp;" / "&amp;Anmeldung!$J$43)&lt;&gt;Anmeldung!$P$33),Anmeldung!$B$43&amp;": "&amp;Anmeldung!$D$43&amp;", "&amp;Anmeldung!$E$43&amp;" / "&amp;Anmeldung!$G$43&amp;" / "&amp;Anmeldung!$J$43,"")</f>
        <v/>
      </c>
      <c r="DS30" t="str">
        <f>IF(AND(36&lt;&gt;26,Anmeldung!$D$43&lt;&gt;"",Anmeldung!$G$43=Anmeldung!$G$33,Anmeldung!$J$43=Anmeldung!$J$33,(Anmeldung!$B$43&amp;": "&amp;Anmeldung!$D$43&amp;", "&amp;Anmeldung!$E$43&amp;" / "&amp;Anmeldung!$G$43&amp;" / "&amp;Anmeldung!$J$43)&lt;&gt;Anmeldung!$O$33),Anmeldung!$B$43&amp;": "&amp;Anmeldung!$D$43&amp;", "&amp;Anmeldung!$E$43&amp;" / "&amp;Anmeldung!$G$43&amp;" / "&amp;Anmeldung!$J$43,"")</f>
        <v/>
      </c>
      <c r="DT30" t="str">
        <f>IF(AND(36&lt;&gt;26,Anmeldung!$D$43&lt;&gt;"",Anmeldung!$G$43&lt;&gt;Anmeldung!$G$33,(Anmeldung!$B$43&amp;": "&amp;Anmeldung!$D$43&amp;", "&amp;Anmeldung!$E$43&amp;" / "&amp;Anmeldung!$G$43&amp;" / "&amp;Anmeldung!$J$43)&lt;&gt;Anmeldung!$S$33),Anmeldung!$B$43&amp;": "&amp;Anmeldung!$D$43&amp;", "&amp;Anmeldung!$E$43&amp;" / "&amp;Anmeldung!$G$43&amp;" / "&amp;Anmeldung!$J$43,"")</f>
        <v/>
      </c>
      <c r="DU30" t="str">
        <f>IF(AND(36&lt;&gt;26,Anmeldung!$D$43&lt;&gt;"",(Anmeldung!$B$43&amp;": "&amp;Anmeldung!$D$43&amp;", "&amp;Anmeldung!$E$43&amp;" / "&amp;Anmeldung!$G$43&amp;" / "&amp;Anmeldung!$J$43)&lt;&gt;Anmeldung!$R$33),Anmeldung!$B$43&amp;": "&amp;Anmeldung!$D$43&amp;", "&amp;Anmeldung!$E$43&amp;" / "&amp;Anmeldung!$G$43&amp;" / "&amp;Anmeldung!$J$43,"")</f>
        <v/>
      </c>
      <c r="DV30" t="str">
        <f>IF(AND(35&lt;&gt;25,Anmeldung!$D$43&lt;&gt;"",Anmeldung!$U$43="Ja",Anmeldung!$G$43=Anmeldung!$G$33,Anmeldung!$J$43=Anmeldung!$J$33),Anmeldung!$B$43&amp;": "&amp;Anmeldung!$D$43&amp;", "&amp;Anmeldung!$E$43&amp;" / "&amp;Anmeldung!$G$43&amp;" / "&amp;Anmeldung!$J$43,"")</f>
        <v/>
      </c>
      <c r="DY30" t="str">
        <f>IF(AND(36&lt;&gt;27,Anmeldung!$D$43&lt;&gt;"",Anmeldung!$G$43=Anmeldung!$G$34,Anmeldung!$J$43=Anmeldung!$J$34),Anmeldung!$B$43&amp;": "&amp;Anmeldung!$D$43&amp;", "&amp;Anmeldung!$E$43&amp;" / "&amp;Anmeldung!$G$43&amp;" / "&amp;Anmeldung!$J$43,"")</f>
        <v/>
      </c>
      <c r="DZ30" t="str">
        <f>IF(AND(36&lt;&gt;27,Anmeldung!$D$43&lt;&gt;"",Anmeldung!$G$43=Anmeldung!$G$34,Anmeldung!$J$43=Anmeldung!$J$34,(Anmeldung!$B$43&amp;": "&amp;Anmeldung!$D$43&amp;", "&amp;Anmeldung!$E$43&amp;" / "&amp;Anmeldung!$G$43&amp;" / "&amp;Anmeldung!$J$43)&lt;&gt;Anmeldung!$P$34),Anmeldung!$B$43&amp;": "&amp;Anmeldung!$D$43&amp;", "&amp;Anmeldung!$E$43&amp;" / "&amp;Anmeldung!$G$43&amp;" / "&amp;Anmeldung!$J$43,"")</f>
        <v/>
      </c>
      <c r="EA30" t="str">
        <f>IF(AND(36&lt;&gt;27,Anmeldung!$D$43&lt;&gt;"",Anmeldung!$G$43=Anmeldung!$G$34,Anmeldung!$J$43=Anmeldung!$J$34,(Anmeldung!$B$43&amp;": "&amp;Anmeldung!$D$43&amp;", "&amp;Anmeldung!$E$43&amp;" / "&amp;Anmeldung!$G$43&amp;" / "&amp;Anmeldung!$J$43)&lt;&gt;Anmeldung!$O$34),Anmeldung!$B$43&amp;": "&amp;Anmeldung!$D$43&amp;", "&amp;Anmeldung!$E$43&amp;" / "&amp;Anmeldung!$G$43&amp;" / "&amp;Anmeldung!$J$43,"")</f>
        <v/>
      </c>
      <c r="EB30" t="str">
        <f>IF(AND(36&lt;&gt;27,Anmeldung!$D$43&lt;&gt;"",Anmeldung!$G$43&lt;&gt;Anmeldung!$G$34,(Anmeldung!$B$43&amp;": "&amp;Anmeldung!$D$43&amp;", "&amp;Anmeldung!$E$43&amp;" / "&amp;Anmeldung!$G$43&amp;" / "&amp;Anmeldung!$J$43)&lt;&gt;Anmeldung!$S$34),Anmeldung!$B$43&amp;": "&amp;Anmeldung!$D$43&amp;", "&amp;Anmeldung!$E$43&amp;" / "&amp;Anmeldung!$G$43&amp;" / "&amp;Anmeldung!$J$43,"")</f>
        <v/>
      </c>
      <c r="EC30" t="str">
        <f>IF(AND(36&lt;&gt;27,Anmeldung!$D$43&lt;&gt;"",(Anmeldung!$B$43&amp;": "&amp;Anmeldung!$D$43&amp;", "&amp;Anmeldung!$E$43&amp;" / "&amp;Anmeldung!$G$43&amp;" / "&amp;Anmeldung!$J$43)&lt;&gt;Anmeldung!$R$34),Anmeldung!$B$43&amp;": "&amp;Anmeldung!$D$43&amp;", "&amp;Anmeldung!$E$43&amp;" / "&amp;Anmeldung!$G$43&amp;" / "&amp;Anmeldung!$J$43,"")</f>
        <v/>
      </c>
      <c r="ED30" t="str">
        <f>IF(AND(35&lt;&gt;26,Anmeldung!$D$43&lt;&gt;"",Anmeldung!$U$43="Ja",Anmeldung!$G$43=Anmeldung!$G$34,Anmeldung!$J$43=Anmeldung!$J$34),Anmeldung!$B$43&amp;": "&amp;Anmeldung!$D$43&amp;", "&amp;Anmeldung!$E$43&amp;" / "&amp;Anmeldung!$G$43&amp;" / "&amp;Anmeldung!$J$43,"")</f>
        <v/>
      </c>
      <c r="EG30" t="str">
        <f>IF(AND(36&lt;&gt;28,Anmeldung!$D$43&lt;&gt;"",Anmeldung!$G$43=Anmeldung!$G$35,Anmeldung!$J$43=Anmeldung!$J$35),Anmeldung!$B$43&amp;": "&amp;Anmeldung!$D$43&amp;", "&amp;Anmeldung!$E$43&amp;" / "&amp;Anmeldung!$G$43&amp;" / "&amp;Anmeldung!$J$43,"")</f>
        <v/>
      </c>
      <c r="EH30" t="str">
        <f>IF(AND(36&lt;&gt;28,Anmeldung!$D$43&lt;&gt;"",Anmeldung!$G$43=Anmeldung!$G$35,Anmeldung!$J$43=Anmeldung!$J$35,(Anmeldung!$B$43&amp;": "&amp;Anmeldung!$D$43&amp;", "&amp;Anmeldung!$E$43&amp;" / "&amp;Anmeldung!$G$43&amp;" / "&amp;Anmeldung!$J$43)&lt;&gt;Anmeldung!$P$35),Anmeldung!$B$43&amp;": "&amp;Anmeldung!$D$43&amp;", "&amp;Anmeldung!$E$43&amp;" / "&amp;Anmeldung!$G$43&amp;" / "&amp;Anmeldung!$J$43,"")</f>
        <v/>
      </c>
      <c r="EI30" t="str">
        <f>IF(AND(36&lt;&gt;28,Anmeldung!$D$43&lt;&gt;"",Anmeldung!$G$43=Anmeldung!$G$35,Anmeldung!$J$43=Anmeldung!$J$35,(Anmeldung!$B$43&amp;": "&amp;Anmeldung!$D$43&amp;", "&amp;Anmeldung!$E$43&amp;" / "&amp;Anmeldung!$G$43&amp;" / "&amp;Anmeldung!$J$43)&lt;&gt;Anmeldung!$O$35),Anmeldung!$B$43&amp;": "&amp;Anmeldung!$D$43&amp;", "&amp;Anmeldung!$E$43&amp;" / "&amp;Anmeldung!$G$43&amp;" / "&amp;Anmeldung!$J$43,"")</f>
        <v/>
      </c>
      <c r="EJ30" t="str">
        <f>IF(AND(36&lt;&gt;28,Anmeldung!$D$43&lt;&gt;"",Anmeldung!$G$43&lt;&gt;Anmeldung!$G$35,(Anmeldung!$B$43&amp;": "&amp;Anmeldung!$D$43&amp;", "&amp;Anmeldung!$E$43&amp;" / "&amp;Anmeldung!$G$43&amp;" / "&amp;Anmeldung!$J$43)&lt;&gt;Anmeldung!$S$35),Anmeldung!$B$43&amp;": "&amp;Anmeldung!$D$43&amp;", "&amp;Anmeldung!$E$43&amp;" / "&amp;Anmeldung!$G$43&amp;" / "&amp;Anmeldung!$J$43,"")</f>
        <v/>
      </c>
      <c r="EK30" t="str">
        <f>IF(AND(36&lt;&gt;28,Anmeldung!$D$43&lt;&gt;"",(Anmeldung!$B$43&amp;": "&amp;Anmeldung!$D$43&amp;", "&amp;Anmeldung!$E$43&amp;" / "&amp;Anmeldung!$G$43&amp;" / "&amp;Anmeldung!$J$43)&lt;&gt;Anmeldung!$R$35),Anmeldung!$B$43&amp;": "&amp;Anmeldung!$D$43&amp;", "&amp;Anmeldung!$E$43&amp;" / "&amp;Anmeldung!$G$43&amp;" / "&amp;Anmeldung!$J$43,"")</f>
        <v/>
      </c>
      <c r="EL30" t="str">
        <f>IF(AND(35&lt;&gt;27,Anmeldung!$D$43&lt;&gt;"",Anmeldung!$U$43="Ja",Anmeldung!$G$43=Anmeldung!$G$35,Anmeldung!$J$43=Anmeldung!$J$35),Anmeldung!$B$43&amp;": "&amp;Anmeldung!$D$43&amp;", "&amp;Anmeldung!$E$43&amp;" / "&amp;Anmeldung!$G$43&amp;" / "&amp;Anmeldung!$J$43,"")</f>
        <v/>
      </c>
      <c r="EO30" t="str">
        <f>IF(AND(36&lt;&gt;29,Anmeldung!$D$43&lt;&gt;"",Anmeldung!$G$43=Anmeldung!$G$36,Anmeldung!$J$43=Anmeldung!$J$36),Anmeldung!$B$43&amp;": "&amp;Anmeldung!$D$43&amp;", "&amp;Anmeldung!$E$43&amp;" / "&amp;Anmeldung!$G$43&amp;" / "&amp;Anmeldung!$J$43,"")</f>
        <v/>
      </c>
      <c r="EP30" t="str">
        <f>IF(AND(36&lt;&gt;29,Anmeldung!$D$43&lt;&gt;"",Anmeldung!$G$43=Anmeldung!$G$36,Anmeldung!$J$43=Anmeldung!$J$36,(Anmeldung!$B$43&amp;": "&amp;Anmeldung!$D$43&amp;", "&amp;Anmeldung!$E$43&amp;" / "&amp;Anmeldung!$G$43&amp;" / "&amp;Anmeldung!$J$43)&lt;&gt;Anmeldung!$P$36),Anmeldung!$B$43&amp;": "&amp;Anmeldung!$D$43&amp;", "&amp;Anmeldung!$E$43&amp;" / "&amp;Anmeldung!$G$43&amp;" / "&amp;Anmeldung!$J$43,"")</f>
        <v/>
      </c>
      <c r="EQ30" t="str">
        <f>IF(AND(36&lt;&gt;29,Anmeldung!$D$43&lt;&gt;"",Anmeldung!$G$43=Anmeldung!$G$36,Anmeldung!$J$43=Anmeldung!$J$36,(Anmeldung!$B$43&amp;": "&amp;Anmeldung!$D$43&amp;", "&amp;Anmeldung!$E$43&amp;" / "&amp;Anmeldung!$G$43&amp;" / "&amp;Anmeldung!$J$43)&lt;&gt;Anmeldung!$O$36),Anmeldung!$B$43&amp;": "&amp;Anmeldung!$D$43&amp;", "&amp;Anmeldung!$E$43&amp;" / "&amp;Anmeldung!$G$43&amp;" / "&amp;Anmeldung!$J$43,"")</f>
        <v/>
      </c>
      <c r="ER30" t="str">
        <f>IF(AND(36&lt;&gt;29,Anmeldung!$D$43&lt;&gt;"",Anmeldung!$G$43&lt;&gt;Anmeldung!$G$36,(Anmeldung!$B$43&amp;": "&amp;Anmeldung!$D$43&amp;", "&amp;Anmeldung!$E$43&amp;" / "&amp;Anmeldung!$G$43&amp;" / "&amp;Anmeldung!$J$43)&lt;&gt;Anmeldung!$S$36),Anmeldung!$B$43&amp;": "&amp;Anmeldung!$D$43&amp;", "&amp;Anmeldung!$E$43&amp;" / "&amp;Anmeldung!$G$43&amp;" / "&amp;Anmeldung!$J$43,"")</f>
        <v/>
      </c>
      <c r="ES30" t="str">
        <f>IF(AND(36&lt;&gt;29,Anmeldung!$D$43&lt;&gt;"",(Anmeldung!$B$43&amp;": "&amp;Anmeldung!$D$43&amp;", "&amp;Anmeldung!$E$43&amp;" / "&amp;Anmeldung!$G$43&amp;" / "&amp;Anmeldung!$J$43)&lt;&gt;Anmeldung!$R$36),Anmeldung!$B$43&amp;": "&amp;Anmeldung!$D$43&amp;", "&amp;Anmeldung!$E$43&amp;" / "&amp;Anmeldung!$G$43&amp;" / "&amp;Anmeldung!$J$43,"")</f>
        <v/>
      </c>
      <c r="ET30" t="str">
        <f>IF(AND(35&lt;&gt;28,Anmeldung!$D$43&lt;&gt;"",Anmeldung!$U$43="Ja",Anmeldung!$G$43=Anmeldung!$G$36,Anmeldung!$J$43=Anmeldung!$J$36),Anmeldung!$B$43&amp;": "&amp;Anmeldung!$D$43&amp;", "&amp;Anmeldung!$E$43&amp;" / "&amp;Anmeldung!$G$43&amp;" / "&amp;Anmeldung!$J$43,"")</f>
        <v/>
      </c>
      <c r="EW30" t="str">
        <f>IF(AND(36&lt;&gt;30,Anmeldung!$D$43&lt;&gt;"",Anmeldung!$G$43=Anmeldung!$G$37,Anmeldung!$J$43=Anmeldung!$J$37),Anmeldung!$B$43&amp;": "&amp;Anmeldung!$D$43&amp;", "&amp;Anmeldung!$E$43&amp;" / "&amp;Anmeldung!$G$43&amp;" / "&amp;Anmeldung!$J$43,"")</f>
        <v/>
      </c>
      <c r="EX30" t="str">
        <f>IF(AND(36&lt;&gt;30,Anmeldung!$D$43&lt;&gt;"",Anmeldung!$G$43=Anmeldung!$G$37,Anmeldung!$J$43=Anmeldung!$J$37,(Anmeldung!$B$43&amp;": "&amp;Anmeldung!$D$43&amp;", "&amp;Anmeldung!$E$43&amp;" / "&amp;Anmeldung!$G$43&amp;" / "&amp;Anmeldung!$J$43)&lt;&gt;Anmeldung!$P$37),Anmeldung!$B$43&amp;": "&amp;Anmeldung!$D$43&amp;", "&amp;Anmeldung!$E$43&amp;" / "&amp;Anmeldung!$G$43&amp;" / "&amp;Anmeldung!$J$43,"")</f>
        <v/>
      </c>
      <c r="EY30" t="str">
        <f>IF(AND(36&lt;&gt;30,Anmeldung!$D$43&lt;&gt;"",Anmeldung!$G$43=Anmeldung!$G$37,Anmeldung!$J$43=Anmeldung!$J$37,(Anmeldung!$B$43&amp;": "&amp;Anmeldung!$D$43&amp;", "&amp;Anmeldung!$E$43&amp;" / "&amp;Anmeldung!$G$43&amp;" / "&amp;Anmeldung!$J$43)&lt;&gt;Anmeldung!$O$37),Anmeldung!$B$43&amp;": "&amp;Anmeldung!$D$43&amp;", "&amp;Anmeldung!$E$43&amp;" / "&amp;Anmeldung!$G$43&amp;" / "&amp;Anmeldung!$J$43,"")</f>
        <v/>
      </c>
      <c r="EZ30" t="str">
        <f>IF(AND(36&lt;&gt;30,Anmeldung!$D$43&lt;&gt;"",Anmeldung!$G$43&lt;&gt;Anmeldung!$G$37,(Anmeldung!$B$43&amp;": "&amp;Anmeldung!$D$43&amp;", "&amp;Anmeldung!$E$43&amp;" / "&amp;Anmeldung!$G$43&amp;" / "&amp;Anmeldung!$J$43)&lt;&gt;Anmeldung!$S$37),Anmeldung!$B$43&amp;": "&amp;Anmeldung!$D$43&amp;", "&amp;Anmeldung!$E$43&amp;" / "&amp;Anmeldung!$G$43&amp;" / "&amp;Anmeldung!$J$43,"")</f>
        <v/>
      </c>
      <c r="FA30" t="str">
        <f>IF(AND(36&lt;&gt;30,Anmeldung!$D$43&lt;&gt;"",(Anmeldung!$B$43&amp;": "&amp;Anmeldung!$D$43&amp;", "&amp;Anmeldung!$E$43&amp;" / "&amp;Anmeldung!$G$43&amp;" / "&amp;Anmeldung!$J$43)&lt;&gt;Anmeldung!$R$37),Anmeldung!$B$43&amp;": "&amp;Anmeldung!$D$43&amp;", "&amp;Anmeldung!$E$43&amp;" / "&amp;Anmeldung!$G$43&amp;" / "&amp;Anmeldung!$J$43,"")</f>
        <v/>
      </c>
      <c r="FB30" t="str">
        <f>IF(AND(35&lt;&gt;29,Anmeldung!$D$43&lt;&gt;"",Anmeldung!$U$43="Ja",Anmeldung!$G$43=Anmeldung!$G$37,Anmeldung!$J$43=Anmeldung!$J$37),Anmeldung!$B$43&amp;": "&amp;Anmeldung!$D$43&amp;", "&amp;Anmeldung!$E$43&amp;" / "&amp;Anmeldung!$G$43&amp;" / "&amp;Anmeldung!$J$43,"")</f>
        <v/>
      </c>
      <c r="FE30" t="str">
        <f>IF(AND(36&lt;&gt;31,Anmeldung!$D$43&lt;&gt;"",Anmeldung!$G$43=Anmeldung!$G$38,Anmeldung!$J$43=Anmeldung!$J$38),Anmeldung!$B$43&amp;": "&amp;Anmeldung!$D$43&amp;", "&amp;Anmeldung!$E$43&amp;" / "&amp;Anmeldung!$G$43&amp;" / "&amp;Anmeldung!$J$43,"")</f>
        <v/>
      </c>
      <c r="FF30" t="str">
        <f>IF(AND(36&lt;&gt;31,Anmeldung!$D$43&lt;&gt;"",Anmeldung!$G$43=Anmeldung!$G$38,Anmeldung!$J$43=Anmeldung!$J$38,(Anmeldung!$B$43&amp;": "&amp;Anmeldung!$D$43&amp;", "&amp;Anmeldung!$E$43&amp;" / "&amp;Anmeldung!$G$43&amp;" / "&amp;Anmeldung!$J$43)&lt;&gt;Anmeldung!$P$38),Anmeldung!$B$43&amp;": "&amp;Anmeldung!$D$43&amp;", "&amp;Anmeldung!$E$43&amp;" / "&amp;Anmeldung!$G$43&amp;" / "&amp;Anmeldung!$J$43,"")</f>
        <v/>
      </c>
      <c r="FG30" t="str">
        <f>IF(AND(36&lt;&gt;31,Anmeldung!$D$43&lt;&gt;"",Anmeldung!$G$43=Anmeldung!$G$38,Anmeldung!$J$43=Anmeldung!$J$38,(Anmeldung!$B$43&amp;": "&amp;Anmeldung!$D$43&amp;", "&amp;Anmeldung!$E$43&amp;" / "&amp;Anmeldung!$G$43&amp;" / "&amp;Anmeldung!$J$43)&lt;&gt;Anmeldung!$O$38),Anmeldung!$B$43&amp;": "&amp;Anmeldung!$D$43&amp;", "&amp;Anmeldung!$E$43&amp;" / "&amp;Anmeldung!$G$43&amp;" / "&amp;Anmeldung!$J$43,"")</f>
        <v/>
      </c>
      <c r="FH30" t="str">
        <f>IF(AND(36&lt;&gt;31,Anmeldung!$D$43&lt;&gt;"",Anmeldung!$G$43&lt;&gt;Anmeldung!$G$38,(Anmeldung!$B$43&amp;": "&amp;Anmeldung!$D$43&amp;", "&amp;Anmeldung!$E$43&amp;" / "&amp;Anmeldung!$G$43&amp;" / "&amp;Anmeldung!$J$43)&lt;&gt;Anmeldung!$S$38),Anmeldung!$B$43&amp;": "&amp;Anmeldung!$D$43&amp;", "&amp;Anmeldung!$E$43&amp;" / "&amp;Anmeldung!$G$43&amp;" / "&amp;Anmeldung!$J$43,"")</f>
        <v/>
      </c>
      <c r="FI30" t="str">
        <f>IF(AND(36&lt;&gt;31,Anmeldung!$D$43&lt;&gt;"",(Anmeldung!$B$43&amp;": "&amp;Anmeldung!$D$43&amp;", "&amp;Anmeldung!$E$43&amp;" / "&amp;Anmeldung!$G$43&amp;" / "&amp;Anmeldung!$J$43)&lt;&gt;Anmeldung!$R$38),Anmeldung!$B$43&amp;": "&amp;Anmeldung!$D$43&amp;", "&amp;Anmeldung!$E$43&amp;" / "&amp;Anmeldung!$G$43&amp;" / "&amp;Anmeldung!$J$43,"")</f>
        <v/>
      </c>
      <c r="FJ30" t="str">
        <f>IF(AND(35&lt;&gt;30,Anmeldung!$D$43&lt;&gt;"",Anmeldung!$U$43="Ja",Anmeldung!$G$43=Anmeldung!$G$38,Anmeldung!$J$43=Anmeldung!$J$38),Anmeldung!$B$43&amp;": "&amp;Anmeldung!$D$43&amp;", "&amp;Anmeldung!$E$43&amp;" / "&amp;Anmeldung!$G$43&amp;" / "&amp;Anmeldung!$J$43,"")</f>
        <v/>
      </c>
      <c r="FM30" t="str">
        <f>IF(AND(36&lt;&gt;32,Anmeldung!$D$43&lt;&gt;"",Anmeldung!$G$43=Anmeldung!$G$39,Anmeldung!$J$43=Anmeldung!$J$39),Anmeldung!$B$43&amp;": "&amp;Anmeldung!$D$43&amp;", "&amp;Anmeldung!$E$43&amp;" / "&amp;Anmeldung!$G$43&amp;" / "&amp;Anmeldung!$J$43,"")</f>
        <v/>
      </c>
      <c r="FN30" t="str">
        <f>IF(AND(36&lt;&gt;32,Anmeldung!$D$43&lt;&gt;"",Anmeldung!$G$43=Anmeldung!$G$39,Anmeldung!$J$43=Anmeldung!$J$39,(Anmeldung!$B$43&amp;": "&amp;Anmeldung!$D$43&amp;", "&amp;Anmeldung!$E$43&amp;" / "&amp;Anmeldung!$G$43&amp;" / "&amp;Anmeldung!$J$43)&lt;&gt;Anmeldung!$P$39),Anmeldung!$B$43&amp;": "&amp;Anmeldung!$D$43&amp;", "&amp;Anmeldung!$E$43&amp;" / "&amp;Anmeldung!$G$43&amp;" / "&amp;Anmeldung!$J$43,"")</f>
        <v/>
      </c>
      <c r="FO30" t="str">
        <f>IF(AND(36&lt;&gt;32,Anmeldung!$D$43&lt;&gt;"",Anmeldung!$G$43=Anmeldung!$G$39,Anmeldung!$J$43=Anmeldung!$J$39,(Anmeldung!$B$43&amp;": "&amp;Anmeldung!$D$43&amp;", "&amp;Anmeldung!$E$43&amp;" / "&amp;Anmeldung!$G$43&amp;" / "&amp;Anmeldung!$J$43)&lt;&gt;Anmeldung!$O$39),Anmeldung!$B$43&amp;": "&amp;Anmeldung!$D$43&amp;", "&amp;Anmeldung!$E$43&amp;" / "&amp;Anmeldung!$G$43&amp;" / "&amp;Anmeldung!$J$43,"")</f>
        <v/>
      </c>
      <c r="FP30" t="str">
        <f>IF(AND(36&lt;&gt;32,Anmeldung!$D$43&lt;&gt;"",Anmeldung!$G$43&lt;&gt;Anmeldung!$G$39,(Anmeldung!$B$43&amp;": "&amp;Anmeldung!$D$43&amp;", "&amp;Anmeldung!$E$43&amp;" / "&amp;Anmeldung!$G$43&amp;" / "&amp;Anmeldung!$J$43)&lt;&gt;Anmeldung!$S$39),Anmeldung!$B$43&amp;": "&amp;Anmeldung!$D$43&amp;", "&amp;Anmeldung!$E$43&amp;" / "&amp;Anmeldung!$G$43&amp;" / "&amp;Anmeldung!$J$43,"")</f>
        <v/>
      </c>
      <c r="FQ30" t="str">
        <f>IF(AND(36&lt;&gt;32,Anmeldung!$D$43&lt;&gt;"",(Anmeldung!$B$43&amp;": "&amp;Anmeldung!$D$43&amp;", "&amp;Anmeldung!$E$43&amp;" / "&amp;Anmeldung!$G$43&amp;" / "&amp;Anmeldung!$J$43)&lt;&gt;Anmeldung!$R$39),Anmeldung!$B$43&amp;": "&amp;Anmeldung!$D$43&amp;", "&amp;Anmeldung!$E$43&amp;" / "&amp;Anmeldung!$G$43&amp;" / "&amp;Anmeldung!$J$43,"")</f>
        <v/>
      </c>
      <c r="FR30" t="str">
        <f>IF(AND(35&lt;&gt;31,Anmeldung!$D$43&lt;&gt;"",Anmeldung!$U$43="Ja",Anmeldung!$G$43=Anmeldung!$G$39,Anmeldung!$J$43=Anmeldung!$J$39),Anmeldung!$B$43&amp;": "&amp;Anmeldung!$D$43&amp;", "&amp;Anmeldung!$E$43&amp;" / "&amp;Anmeldung!$G$43&amp;" / "&amp;Anmeldung!$J$43,"")</f>
        <v/>
      </c>
      <c r="FU30" t="str">
        <f>IF(AND(36&lt;&gt;33,Anmeldung!$D$43&lt;&gt;"",Anmeldung!$G$43=Anmeldung!$G$40,Anmeldung!$J$43=Anmeldung!$J$40),Anmeldung!$B$43&amp;": "&amp;Anmeldung!$D$43&amp;", "&amp;Anmeldung!$E$43&amp;" / "&amp;Anmeldung!$G$43&amp;" / "&amp;Anmeldung!$J$43,"")</f>
        <v/>
      </c>
      <c r="FV30" t="str">
        <f>IF(AND(36&lt;&gt;33,Anmeldung!$D$43&lt;&gt;"",Anmeldung!$G$43=Anmeldung!$G$40,Anmeldung!$J$43=Anmeldung!$J$40,(Anmeldung!$B$43&amp;": "&amp;Anmeldung!$D$43&amp;", "&amp;Anmeldung!$E$43&amp;" / "&amp;Anmeldung!$G$43&amp;" / "&amp;Anmeldung!$J$43)&lt;&gt;Anmeldung!$P$40),Anmeldung!$B$43&amp;": "&amp;Anmeldung!$D$43&amp;", "&amp;Anmeldung!$E$43&amp;" / "&amp;Anmeldung!$G$43&amp;" / "&amp;Anmeldung!$J$43,"")</f>
        <v/>
      </c>
      <c r="FW30" t="str">
        <f>IF(AND(36&lt;&gt;33,Anmeldung!$D$43&lt;&gt;"",Anmeldung!$G$43=Anmeldung!$G$40,Anmeldung!$J$43=Anmeldung!$J$40,(Anmeldung!$B$43&amp;": "&amp;Anmeldung!$D$43&amp;", "&amp;Anmeldung!$E$43&amp;" / "&amp;Anmeldung!$G$43&amp;" / "&amp;Anmeldung!$J$43)&lt;&gt;Anmeldung!$O$40),Anmeldung!$B$43&amp;": "&amp;Anmeldung!$D$43&amp;", "&amp;Anmeldung!$E$43&amp;" / "&amp;Anmeldung!$G$43&amp;" / "&amp;Anmeldung!$J$43,"")</f>
        <v/>
      </c>
      <c r="FX30" t="str">
        <f>IF(AND(36&lt;&gt;33,Anmeldung!$D$43&lt;&gt;"",Anmeldung!$G$43&lt;&gt;Anmeldung!$G$40,(Anmeldung!$B$43&amp;": "&amp;Anmeldung!$D$43&amp;", "&amp;Anmeldung!$E$43&amp;" / "&amp;Anmeldung!$G$43&amp;" / "&amp;Anmeldung!$J$43)&lt;&gt;Anmeldung!$S$40),Anmeldung!$B$43&amp;": "&amp;Anmeldung!$D$43&amp;", "&amp;Anmeldung!$E$43&amp;" / "&amp;Anmeldung!$G$43&amp;" / "&amp;Anmeldung!$J$43,"")</f>
        <v/>
      </c>
      <c r="FY30" t="str">
        <f>IF(AND(36&lt;&gt;33,Anmeldung!$D$43&lt;&gt;"",(Anmeldung!$B$43&amp;": "&amp;Anmeldung!$D$43&amp;", "&amp;Anmeldung!$E$43&amp;" / "&amp;Anmeldung!$G$43&amp;" / "&amp;Anmeldung!$J$43)&lt;&gt;Anmeldung!$R$40),Anmeldung!$B$43&amp;": "&amp;Anmeldung!$D$43&amp;", "&amp;Anmeldung!$E$43&amp;" / "&amp;Anmeldung!$G$43&amp;" / "&amp;Anmeldung!$J$43,"")</f>
        <v/>
      </c>
      <c r="FZ30" t="str">
        <f>IF(AND(35&lt;&gt;32,Anmeldung!$D$43&lt;&gt;"",Anmeldung!$U$43="Ja",Anmeldung!$G$43=Anmeldung!$G$40,Anmeldung!$J$43=Anmeldung!$J$40),Anmeldung!$B$43&amp;": "&amp;Anmeldung!$D$43&amp;", "&amp;Anmeldung!$E$43&amp;" / "&amp;Anmeldung!$G$43&amp;" / "&amp;Anmeldung!$J$43,"")</f>
        <v/>
      </c>
      <c r="GC30" t="str">
        <f>IF(AND(36&lt;&gt;34,Anmeldung!$D$43&lt;&gt;"",Anmeldung!$G$43=Anmeldung!$G$41,Anmeldung!$J$43=Anmeldung!$J$41),Anmeldung!$B$43&amp;": "&amp;Anmeldung!$D$43&amp;", "&amp;Anmeldung!$E$43&amp;" / "&amp;Anmeldung!$G$43&amp;" / "&amp;Anmeldung!$J$43,"")</f>
        <v/>
      </c>
      <c r="GD30" t="str">
        <f>IF(AND(36&lt;&gt;34,Anmeldung!$D$43&lt;&gt;"",Anmeldung!$G$43=Anmeldung!$G$41,Anmeldung!$J$43=Anmeldung!$J$41,(Anmeldung!$B$43&amp;": "&amp;Anmeldung!$D$43&amp;", "&amp;Anmeldung!$E$43&amp;" / "&amp;Anmeldung!$G$43&amp;" / "&amp;Anmeldung!$J$43)&lt;&gt;Anmeldung!$P$41),Anmeldung!$B$43&amp;": "&amp;Anmeldung!$D$43&amp;", "&amp;Anmeldung!$E$43&amp;" / "&amp;Anmeldung!$G$43&amp;" / "&amp;Anmeldung!$J$43,"")</f>
        <v/>
      </c>
      <c r="GE30" t="str">
        <f>IF(AND(36&lt;&gt;34,Anmeldung!$D$43&lt;&gt;"",Anmeldung!$G$43=Anmeldung!$G$41,Anmeldung!$J$43=Anmeldung!$J$41,(Anmeldung!$B$43&amp;": "&amp;Anmeldung!$D$43&amp;", "&amp;Anmeldung!$E$43&amp;" / "&amp;Anmeldung!$G$43&amp;" / "&amp;Anmeldung!$J$43)&lt;&gt;Anmeldung!$O$41),Anmeldung!$B$43&amp;": "&amp;Anmeldung!$D$43&amp;", "&amp;Anmeldung!$E$43&amp;" / "&amp;Anmeldung!$G$43&amp;" / "&amp;Anmeldung!$J$43,"")</f>
        <v/>
      </c>
      <c r="GF30" t="str">
        <f>IF(AND(36&lt;&gt;34,Anmeldung!$D$43&lt;&gt;"",Anmeldung!$G$43&lt;&gt;Anmeldung!$G$41,(Anmeldung!$B$43&amp;": "&amp;Anmeldung!$D$43&amp;", "&amp;Anmeldung!$E$43&amp;" / "&amp;Anmeldung!$G$43&amp;" / "&amp;Anmeldung!$J$43)&lt;&gt;Anmeldung!$S$41),Anmeldung!$B$43&amp;": "&amp;Anmeldung!$D$43&amp;", "&amp;Anmeldung!$E$43&amp;" / "&amp;Anmeldung!$G$43&amp;" / "&amp;Anmeldung!$J$43,"")</f>
        <v/>
      </c>
      <c r="GG30" t="str">
        <f>IF(AND(36&lt;&gt;34,Anmeldung!$D$43&lt;&gt;"",(Anmeldung!$B$43&amp;": "&amp;Anmeldung!$D$43&amp;", "&amp;Anmeldung!$E$43&amp;" / "&amp;Anmeldung!$G$43&amp;" / "&amp;Anmeldung!$J$43)&lt;&gt;Anmeldung!$R$41),Anmeldung!$B$43&amp;": "&amp;Anmeldung!$D$43&amp;", "&amp;Anmeldung!$E$43&amp;" / "&amp;Anmeldung!$G$43&amp;" / "&amp;Anmeldung!$J$43,"")</f>
        <v/>
      </c>
      <c r="GH30" t="str">
        <f>IF(AND(35&lt;&gt;33,Anmeldung!$D$43&lt;&gt;"",Anmeldung!$U$43="Ja",Anmeldung!$G$43=Anmeldung!$G$41,Anmeldung!$J$43=Anmeldung!$J$41),Anmeldung!$B$43&amp;": "&amp;Anmeldung!$D$43&amp;", "&amp;Anmeldung!$E$43&amp;" / "&amp;Anmeldung!$G$43&amp;" / "&amp;Anmeldung!$J$43,"")</f>
        <v/>
      </c>
      <c r="GK30" t="str">
        <f>IF(AND(36&lt;&gt;35,Anmeldung!$D$43&lt;&gt;"",Anmeldung!$G$43=Anmeldung!$G$42,Anmeldung!$J$43=Anmeldung!$J$42),Anmeldung!$B$43&amp;": "&amp;Anmeldung!$D$43&amp;", "&amp;Anmeldung!$E$43&amp;" / "&amp;Anmeldung!$G$43&amp;" / "&amp;Anmeldung!$J$43,"")</f>
        <v/>
      </c>
      <c r="GL30" t="str">
        <f>IF(AND(36&lt;&gt;35,Anmeldung!$D$43&lt;&gt;"",Anmeldung!$G$43=Anmeldung!$G$42,Anmeldung!$J$43=Anmeldung!$J$42,(Anmeldung!$B$43&amp;": "&amp;Anmeldung!$D$43&amp;", "&amp;Anmeldung!$E$43&amp;" / "&amp;Anmeldung!$G$43&amp;" / "&amp;Anmeldung!$J$43)&lt;&gt;Anmeldung!$P$42),Anmeldung!$B$43&amp;": "&amp;Anmeldung!$D$43&amp;", "&amp;Anmeldung!$E$43&amp;" / "&amp;Anmeldung!$G$43&amp;" / "&amp;Anmeldung!$J$43,"")</f>
        <v/>
      </c>
      <c r="GM30" t="str">
        <f>IF(AND(36&lt;&gt;35,Anmeldung!$D$43&lt;&gt;"",Anmeldung!$G$43=Anmeldung!$G$42,Anmeldung!$J$43=Anmeldung!$J$42,(Anmeldung!$B$43&amp;": "&amp;Anmeldung!$D$43&amp;", "&amp;Anmeldung!$E$43&amp;" / "&amp;Anmeldung!$G$43&amp;" / "&amp;Anmeldung!$J$43)&lt;&gt;Anmeldung!$O$42),Anmeldung!$B$43&amp;": "&amp;Anmeldung!$D$43&amp;", "&amp;Anmeldung!$E$43&amp;" / "&amp;Anmeldung!$G$43&amp;" / "&amp;Anmeldung!$J$43,"")</f>
        <v/>
      </c>
      <c r="GN30" t="str">
        <f>IF(AND(36&lt;&gt;35,Anmeldung!$D$43&lt;&gt;"",Anmeldung!$G$43&lt;&gt;Anmeldung!$G$42,(Anmeldung!$B$43&amp;": "&amp;Anmeldung!$D$43&amp;", "&amp;Anmeldung!$E$43&amp;" / "&amp;Anmeldung!$G$43&amp;" / "&amp;Anmeldung!$J$43)&lt;&gt;Anmeldung!$S$42),Anmeldung!$B$43&amp;": "&amp;Anmeldung!$D$43&amp;", "&amp;Anmeldung!$E$43&amp;" / "&amp;Anmeldung!$G$43&amp;" / "&amp;Anmeldung!$J$43,"")</f>
        <v/>
      </c>
      <c r="GO30" t="str">
        <f>IF(AND(36&lt;&gt;35,Anmeldung!$D$43&lt;&gt;"",(Anmeldung!$B$43&amp;": "&amp;Anmeldung!$D$43&amp;", "&amp;Anmeldung!$E$43&amp;" / "&amp;Anmeldung!$G$43&amp;" / "&amp;Anmeldung!$J$43)&lt;&gt;Anmeldung!$R$42),Anmeldung!$B$43&amp;": "&amp;Anmeldung!$D$43&amp;", "&amp;Anmeldung!$E$43&amp;" / "&amp;Anmeldung!$G$43&amp;" / "&amp;Anmeldung!$J$43,"")</f>
        <v/>
      </c>
      <c r="GP30" t="str">
        <f>IF(AND(35&lt;&gt;34,Anmeldung!$D$43&lt;&gt;"",Anmeldung!$U$43="Ja",Anmeldung!$G$43=Anmeldung!$G$42,Anmeldung!$J$43=Anmeldung!$J$42),Anmeldung!$B$43&amp;": "&amp;Anmeldung!$D$43&amp;", "&amp;Anmeldung!$E$43&amp;" / "&amp;Anmeldung!$G$43&amp;" / "&amp;Anmeldung!$J$43,"")</f>
        <v/>
      </c>
      <c r="GS30" t="str">
        <f>IF(AND(36&lt;&gt;36,Anmeldung!$D$43&lt;&gt;"",Anmeldung!$G$43=Anmeldung!$G$43,Anmeldung!$J$43=Anmeldung!$J$43),Anmeldung!$B$43&amp;": "&amp;Anmeldung!$D$43&amp;", "&amp;Anmeldung!$E$43&amp;" / "&amp;Anmeldung!$G$43&amp;" / "&amp;Anmeldung!$J$43,"")</f>
        <v/>
      </c>
      <c r="GT30" t="str">
        <f>IF(AND(36&lt;&gt;36,Anmeldung!$D$43&lt;&gt;"",Anmeldung!$G$43=Anmeldung!$G$43,Anmeldung!$J$43=Anmeldung!$J$43,(Anmeldung!$B$43&amp;": "&amp;Anmeldung!$D$43&amp;", "&amp;Anmeldung!$E$43&amp;" / "&amp;Anmeldung!$G$43&amp;" / "&amp;Anmeldung!$J$43)&lt;&gt;Anmeldung!$P$43),Anmeldung!$B$43&amp;": "&amp;Anmeldung!$D$43&amp;", "&amp;Anmeldung!$E$43&amp;" / "&amp;Anmeldung!$G$43&amp;" / "&amp;Anmeldung!$J$43,"")</f>
        <v/>
      </c>
      <c r="GU30" t="str">
        <f>IF(AND(36&lt;&gt;36,Anmeldung!$D$43&lt;&gt;"",Anmeldung!$G$43=Anmeldung!$G$43,Anmeldung!$J$43=Anmeldung!$J$43,(Anmeldung!$B$43&amp;": "&amp;Anmeldung!$D$43&amp;", "&amp;Anmeldung!$E$43&amp;" / "&amp;Anmeldung!$G$43&amp;" / "&amp;Anmeldung!$J$43)&lt;&gt;Anmeldung!$O$43),Anmeldung!$B$43&amp;": "&amp;Anmeldung!$D$43&amp;", "&amp;Anmeldung!$E$43&amp;" / "&amp;Anmeldung!$G$43&amp;" / "&amp;Anmeldung!$J$43,"")</f>
        <v/>
      </c>
      <c r="GV30" t="str">
        <f>IF(AND(36&lt;&gt;36,Anmeldung!$D$43&lt;&gt;"",Anmeldung!$G$43&lt;&gt;Anmeldung!$G$43,(Anmeldung!$B$43&amp;": "&amp;Anmeldung!$D$43&amp;", "&amp;Anmeldung!$E$43&amp;" / "&amp;Anmeldung!$G$43&amp;" / "&amp;Anmeldung!$J$43)&lt;&gt;Anmeldung!$S$43),Anmeldung!$B$43&amp;": "&amp;Anmeldung!$D$43&amp;", "&amp;Anmeldung!$E$43&amp;" / "&amp;Anmeldung!$G$43&amp;" / "&amp;Anmeldung!$J$43,"")</f>
        <v/>
      </c>
      <c r="GW30" t="str">
        <f>IF(AND(36&lt;&gt;36,Anmeldung!$D$43&lt;&gt;"",(Anmeldung!$B$43&amp;": "&amp;Anmeldung!$D$43&amp;", "&amp;Anmeldung!$E$43&amp;" / "&amp;Anmeldung!$G$43&amp;" / "&amp;Anmeldung!$J$43)&lt;&gt;Anmeldung!$R$43),Anmeldung!$B$43&amp;": "&amp;Anmeldung!$D$43&amp;", "&amp;Anmeldung!$E$43&amp;" / "&amp;Anmeldung!$G$43&amp;" / "&amp;Anmeldung!$J$43,"")</f>
        <v/>
      </c>
      <c r="GX30" t="str">
        <f>IF(AND(35&lt;&gt;35,Anmeldung!$D$43&lt;&gt;"",Anmeldung!$U$43="Ja",Anmeldung!$G$43=Anmeldung!$G$43,Anmeldung!$J$43=Anmeldung!$J$43),Anmeldung!$B$43&amp;": "&amp;Anmeldung!$D$43&amp;", "&amp;Anmeldung!$E$43&amp;" / "&amp;Anmeldung!$G$43&amp;" / "&amp;Anmeldung!$J$43,"")</f>
        <v/>
      </c>
      <c r="HA30" t="str">
        <f>IF(AND(36&lt;&gt;37,Anmeldung!$D$43&lt;&gt;"",Anmeldung!$G$43=Anmeldung!$G$44,Anmeldung!$J$43=Anmeldung!$J$44),Anmeldung!$B$43&amp;": "&amp;Anmeldung!$D$43&amp;", "&amp;Anmeldung!$E$43&amp;" / "&amp;Anmeldung!$G$43&amp;" / "&amp;Anmeldung!$J$43,"")</f>
        <v/>
      </c>
      <c r="HB30" t="str">
        <f>IF(AND(36&lt;&gt;37,Anmeldung!$D$43&lt;&gt;"",Anmeldung!$G$43=Anmeldung!$G$44,Anmeldung!$J$43=Anmeldung!$J$44,(Anmeldung!$B$43&amp;": "&amp;Anmeldung!$D$43&amp;", "&amp;Anmeldung!$E$43&amp;" / "&amp;Anmeldung!$G$43&amp;" / "&amp;Anmeldung!$J$43)&lt;&gt;Anmeldung!$P$44),Anmeldung!$B$43&amp;": "&amp;Anmeldung!$D$43&amp;", "&amp;Anmeldung!$E$43&amp;" / "&amp;Anmeldung!$G$43&amp;" / "&amp;Anmeldung!$J$43,"")</f>
        <v/>
      </c>
      <c r="HC30" t="str">
        <f>IF(AND(36&lt;&gt;37,Anmeldung!$D$43&lt;&gt;"",Anmeldung!$G$43=Anmeldung!$G$44,Anmeldung!$J$43=Anmeldung!$J$44,(Anmeldung!$B$43&amp;": "&amp;Anmeldung!$D$43&amp;", "&amp;Anmeldung!$E$43&amp;" / "&amp;Anmeldung!$G$43&amp;" / "&amp;Anmeldung!$J$43)&lt;&gt;Anmeldung!$O$44),Anmeldung!$B$43&amp;": "&amp;Anmeldung!$D$43&amp;", "&amp;Anmeldung!$E$43&amp;" / "&amp;Anmeldung!$G$43&amp;" / "&amp;Anmeldung!$J$43,"")</f>
        <v/>
      </c>
      <c r="HD30" t="str">
        <f>IF(AND(36&lt;&gt;37,Anmeldung!$D$43&lt;&gt;"",Anmeldung!$G$43&lt;&gt;Anmeldung!$G$44,(Anmeldung!$B$43&amp;": "&amp;Anmeldung!$D$43&amp;", "&amp;Anmeldung!$E$43&amp;" / "&amp;Anmeldung!$G$43&amp;" / "&amp;Anmeldung!$J$43)&lt;&gt;Anmeldung!$S$44),Anmeldung!$B$43&amp;": "&amp;Anmeldung!$D$43&amp;", "&amp;Anmeldung!$E$43&amp;" / "&amp;Anmeldung!$G$43&amp;" / "&amp;Anmeldung!$J$43,"")</f>
        <v/>
      </c>
      <c r="HE30" t="str">
        <f>IF(AND(36&lt;&gt;37,Anmeldung!$D$43&lt;&gt;"",(Anmeldung!$B$43&amp;": "&amp;Anmeldung!$D$43&amp;", "&amp;Anmeldung!$E$43&amp;" / "&amp;Anmeldung!$G$43&amp;" / "&amp;Anmeldung!$J$43)&lt;&gt;Anmeldung!$R$44),Anmeldung!$B$43&amp;": "&amp;Anmeldung!$D$43&amp;", "&amp;Anmeldung!$E$43&amp;" / "&amp;Anmeldung!$G$43&amp;" / "&amp;Anmeldung!$J$43,"")</f>
        <v/>
      </c>
      <c r="HF30" t="str">
        <f>IF(AND(35&lt;&gt;36,Anmeldung!$D$43&lt;&gt;"",Anmeldung!$U$43="Ja",Anmeldung!$G$43=Anmeldung!$G$44,Anmeldung!$J$43=Anmeldung!$J$44),Anmeldung!$B$43&amp;": "&amp;Anmeldung!$D$43&amp;", "&amp;Anmeldung!$E$43&amp;" / "&amp;Anmeldung!$G$43&amp;" / "&amp;Anmeldung!$J$43,"")</f>
        <v/>
      </c>
      <c r="HI30" t="str">
        <f>IF(AND(36&lt;&gt;38,Anmeldung!$D$43&lt;&gt;"",Anmeldung!$G$43=Anmeldung!$G$45,Anmeldung!$J$43=Anmeldung!$J$45),Anmeldung!$B$43&amp;": "&amp;Anmeldung!$D$43&amp;", "&amp;Anmeldung!$E$43&amp;" / "&amp;Anmeldung!$G$43&amp;" / "&amp;Anmeldung!$J$43,"")</f>
        <v/>
      </c>
      <c r="HJ30" t="str">
        <f>IF(AND(36&lt;&gt;38,Anmeldung!$D$43&lt;&gt;"",Anmeldung!$G$43=Anmeldung!$G$45,Anmeldung!$J$43=Anmeldung!$J$45,(Anmeldung!$B$43&amp;": "&amp;Anmeldung!$D$43&amp;", "&amp;Anmeldung!$E$43&amp;" / "&amp;Anmeldung!$G$43&amp;" / "&amp;Anmeldung!$J$43)&lt;&gt;Anmeldung!$P$45),Anmeldung!$B$43&amp;": "&amp;Anmeldung!$D$43&amp;", "&amp;Anmeldung!$E$43&amp;" / "&amp;Anmeldung!$G$43&amp;" / "&amp;Anmeldung!$J$43,"")</f>
        <v/>
      </c>
      <c r="HK30" t="str">
        <f>IF(AND(36&lt;&gt;38,Anmeldung!$D$43&lt;&gt;"",Anmeldung!$G$43=Anmeldung!$G$45,Anmeldung!$J$43=Anmeldung!$J$45,(Anmeldung!$B$43&amp;": "&amp;Anmeldung!$D$43&amp;", "&amp;Anmeldung!$E$43&amp;" / "&amp;Anmeldung!$G$43&amp;" / "&amp;Anmeldung!$J$43)&lt;&gt;Anmeldung!$O$45),Anmeldung!$B$43&amp;": "&amp;Anmeldung!$D$43&amp;", "&amp;Anmeldung!$E$43&amp;" / "&amp;Anmeldung!$G$43&amp;" / "&amp;Anmeldung!$J$43,"")</f>
        <v/>
      </c>
      <c r="HL30" t="str">
        <f>IF(AND(36&lt;&gt;38,Anmeldung!$D$43&lt;&gt;"",Anmeldung!$G$43&lt;&gt;Anmeldung!$G$45,(Anmeldung!$B$43&amp;": "&amp;Anmeldung!$D$43&amp;", "&amp;Anmeldung!$E$43&amp;" / "&amp;Anmeldung!$G$43&amp;" / "&amp;Anmeldung!$J$43)&lt;&gt;Anmeldung!$S$45),Anmeldung!$B$43&amp;": "&amp;Anmeldung!$D$43&amp;", "&amp;Anmeldung!$E$43&amp;" / "&amp;Anmeldung!$G$43&amp;" / "&amp;Anmeldung!$J$43,"")</f>
        <v/>
      </c>
      <c r="HM30" t="str">
        <f>IF(AND(36&lt;&gt;38,Anmeldung!$D$43&lt;&gt;"",(Anmeldung!$B$43&amp;": "&amp;Anmeldung!$D$43&amp;", "&amp;Anmeldung!$E$43&amp;" / "&amp;Anmeldung!$G$43&amp;" / "&amp;Anmeldung!$J$43)&lt;&gt;Anmeldung!$R$45),Anmeldung!$B$43&amp;": "&amp;Anmeldung!$D$43&amp;", "&amp;Anmeldung!$E$43&amp;" / "&amp;Anmeldung!$G$43&amp;" / "&amp;Anmeldung!$J$43,"")</f>
        <v/>
      </c>
      <c r="HN30" t="str">
        <f>IF(AND(35&lt;&gt;37,Anmeldung!$D$43&lt;&gt;"",Anmeldung!$U$43="Ja",Anmeldung!$G$43=Anmeldung!$G$45,Anmeldung!$J$43=Anmeldung!$J$45),Anmeldung!$B$43&amp;": "&amp;Anmeldung!$D$43&amp;", "&amp;Anmeldung!$E$43&amp;" / "&amp;Anmeldung!$G$43&amp;" / "&amp;Anmeldung!$J$43,"")</f>
        <v/>
      </c>
      <c r="HQ30" t="str">
        <f>IF(AND(36&lt;&gt;39,Anmeldung!$D$43&lt;&gt;"",Anmeldung!$G$43=Anmeldung!$G$46,Anmeldung!$J$43=Anmeldung!$J$46),Anmeldung!$B$43&amp;": "&amp;Anmeldung!$D$43&amp;", "&amp;Anmeldung!$E$43&amp;" / "&amp;Anmeldung!$G$43&amp;" / "&amp;Anmeldung!$J$43,"")</f>
        <v/>
      </c>
      <c r="HR30" t="str">
        <f>IF(AND(36&lt;&gt;39,Anmeldung!$D$43&lt;&gt;"",Anmeldung!$G$43=Anmeldung!$G$46,Anmeldung!$J$43=Anmeldung!$J$46,(Anmeldung!$B$43&amp;": "&amp;Anmeldung!$D$43&amp;", "&amp;Anmeldung!$E$43&amp;" / "&amp;Anmeldung!$G$43&amp;" / "&amp;Anmeldung!$J$43)&lt;&gt;Anmeldung!$P$46),Anmeldung!$B$43&amp;": "&amp;Anmeldung!$D$43&amp;", "&amp;Anmeldung!$E$43&amp;" / "&amp;Anmeldung!$G$43&amp;" / "&amp;Anmeldung!$J$43,"")</f>
        <v/>
      </c>
      <c r="HS30" t="str">
        <f>IF(AND(36&lt;&gt;39,Anmeldung!$D$43&lt;&gt;"",Anmeldung!$G$43=Anmeldung!$G$46,Anmeldung!$J$43=Anmeldung!$J$46,(Anmeldung!$B$43&amp;": "&amp;Anmeldung!$D$43&amp;", "&amp;Anmeldung!$E$43&amp;" / "&amp;Anmeldung!$G$43&amp;" / "&amp;Anmeldung!$J$43)&lt;&gt;Anmeldung!$O$46),Anmeldung!$B$43&amp;": "&amp;Anmeldung!$D$43&amp;", "&amp;Anmeldung!$E$43&amp;" / "&amp;Anmeldung!$G$43&amp;" / "&amp;Anmeldung!$J$43,"")</f>
        <v/>
      </c>
      <c r="HT30" t="str">
        <f>IF(AND(36&lt;&gt;39,Anmeldung!$D$43&lt;&gt;"",Anmeldung!$G$43&lt;&gt;Anmeldung!$G$46,(Anmeldung!$B$43&amp;": "&amp;Anmeldung!$D$43&amp;", "&amp;Anmeldung!$E$43&amp;" / "&amp;Anmeldung!$G$43&amp;" / "&amp;Anmeldung!$J$43)&lt;&gt;Anmeldung!$S$46),Anmeldung!$B$43&amp;": "&amp;Anmeldung!$D$43&amp;", "&amp;Anmeldung!$E$43&amp;" / "&amp;Anmeldung!$G$43&amp;" / "&amp;Anmeldung!$J$43,"")</f>
        <v/>
      </c>
      <c r="HU30" t="str">
        <f>IF(AND(36&lt;&gt;39,Anmeldung!$D$43&lt;&gt;"",(Anmeldung!$B$43&amp;": "&amp;Anmeldung!$D$43&amp;", "&amp;Anmeldung!$E$43&amp;" / "&amp;Anmeldung!$G$43&amp;" / "&amp;Anmeldung!$J$43)&lt;&gt;Anmeldung!$R$46),Anmeldung!$B$43&amp;": "&amp;Anmeldung!$D$43&amp;", "&amp;Anmeldung!$E$43&amp;" / "&amp;Anmeldung!$G$43&amp;" / "&amp;Anmeldung!$J$43,"")</f>
        <v/>
      </c>
      <c r="HV30" t="str">
        <f>IF(AND(35&lt;&gt;38,Anmeldung!$D$43&lt;&gt;"",Anmeldung!$U$43="Ja",Anmeldung!$G$43=Anmeldung!$G$46,Anmeldung!$J$43=Anmeldung!$J$46),Anmeldung!$B$43&amp;": "&amp;Anmeldung!$D$43&amp;", "&amp;Anmeldung!$E$43&amp;" / "&amp;Anmeldung!$G$43&amp;" / "&amp;Anmeldung!$J$43,"")</f>
        <v/>
      </c>
      <c r="HY30" t="str">
        <f>IF(AND(36&lt;&gt;40,Anmeldung!$D$43&lt;&gt;"",Anmeldung!$G$43=Anmeldung!$G$47,Anmeldung!$J$43=Anmeldung!$J$47),Anmeldung!$B$43&amp;": "&amp;Anmeldung!$D$43&amp;", "&amp;Anmeldung!$E$43&amp;" / "&amp;Anmeldung!$G$43&amp;" / "&amp;Anmeldung!$J$43,"")</f>
        <v/>
      </c>
      <c r="HZ30" t="str">
        <f>IF(AND(36&lt;&gt;40,Anmeldung!$D$43&lt;&gt;"",Anmeldung!$G$43=Anmeldung!$G$47,Anmeldung!$J$43=Anmeldung!$J$47,(Anmeldung!$B$43&amp;": "&amp;Anmeldung!$D$43&amp;", "&amp;Anmeldung!$E$43&amp;" / "&amp;Anmeldung!$G$43&amp;" / "&amp;Anmeldung!$J$43)&lt;&gt;Anmeldung!$P$47),Anmeldung!$B$43&amp;": "&amp;Anmeldung!$D$43&amp;", "&amp;Anmeldung!$E$43&amp;" / "&amp;Anmeldung!$G$43&amp;" / "&amp;Anmeldung!$J$43,"")</f>
        <v/>
      </c>
      <c r="IA30" t="str">
        <f>IF(AND(36&lt;&gt;40,Anmeldung!$D$43&lt;&gt;"",Anmeldung!$G$43=Anmeldung!$G$47,Anmeldung!$J$43=Anmeldung!$J$47,(Anmeldung!$B$43&amp;": "&amp;Anmeldung!$D$43&amp;", "&amp;Anmeldung!$E$43&amp;" / "&amp;Anmeldung!$G$43&amp;" / "&amp;Anmeldung!$J$43)&lt;&gt;Anmeldung!$O$47),Anmeldung!$B$43&amp;": "&amp;Anmeldung!$D$43&amp;", "&amp;Anmeldung!$E$43&amp;" / "&amp;Anmeldung!$G$43&amp;" / "&amp;Anmeldung!$J$43,"")</f>
        <v/>
      </c>
      <c r="IB30" t="str">
        <f>IF(AND(36&lt;&gt;40,Anmeldung!$D$43&lt;&gt;"",Anmeldung!$G$43&lt;&gt;Anmeldung!$G$47,(Anmeldung!$B$43&amp;": "&amp;Anmeldung!$D$43&amp;", "&amp;Anmeldung!$E$43&amp;" / "&amp;Anmeldung!$G$43&amp;" / "&amp;Anmeldung!$J$43)&lt;&gt;Anmeldung!$S$47),Anmeldung!$B$43&amp;": "&amp;Anmeldung!$D$43&amp;", "&amp;Anmeldung!$E$43&amp;" / "&amp;Anmeldung!$G$43&amp;" / "&amp;Anmeldung!$J$43,"")</f>
        <v/>
      </c>
      <c r="IC30" t="str">
        <f>IF(AND(36&lt;&gt;40,Anmeldung!$D$43&lt;&gt;"",(Anmeldung!$B$43&amp;": "&amp;Anmeldung!$D$43&amp;", "&amp;Anmeldung!$E$43&amp;" / "&amp;Anmeldung!$G$43&amp;" / "&amp;Anmeldung!$J$43)&lt;&gt;Anmeldung!$R$47),Anmeldung!$B$43&amp;": "&amp;Anmeldung!$D$43&amp;", "&amp;Anmeldung!$E$43&amp;" / "&amp;Anmeldung!$G$43&amp;" / "&amp;Anmeldung!$J$43,"")</f>
        <v/>
      </c>
      <c r="ID30" t="str">
        <f>IF(AND(35&lt;&gt;39,Anmeldung!$D$43&lt;&gt;"",Anmeldung!$U$43="Ja",Anmeldung!$G$43=Anmeldung!$G$47,Anmeldung!$J$43=Anmeldung!$J$47),Anmeldung!$B$43&amp;": "&amp;Anmeldung!$D$43&amp;", "&amp;Anmeldung!$E$43&amp;" / "&amp;Anmeldung!$G$43&amp;" / "&amp;Anmeldung!$J$43,"")</f>
        <v/>
      </c>
    </row>
    <row r="31" spans="1:238" ht="14.25" customHeight="1" x14ac:dyDescent="0.3">
      <c r="A31" t="str">
        <f>IF(AND(37&lt;&gt;11,Anmeldung!$D$44&lt;&gt;"",Anmeldung!$G$44=Anmeldung!$G$18,Anmeldung!$J$44=Anmeldung!$J$18),Anmeldung!$B$44&amp;": "&amp;Anmeldung!$D$44&amp;", "&amp;Anmeldung!$E$44&amp;" / "&amp;Anmeldung!$G$44&amp;" / "&amp;Anmeldung!$J$44,"")</f>
        <v/>
      </c>
      <c r="B31" t="str">
        <f>IF(AND(37&lt;&gt;11,Anmeldung!$D$44&lt;&gt;"",Anmeldung!$G$44=Anmeldung!$G$18,Anmeldung!$J$44=Anmeldung!$J$18,(Anmeldung!$B$44&amp;": "&amp;Anmeldung!$D$44&amp;", "&amp;Anmeldung!$E$44&amp;" / "&amp;Anmeldung!$G$44&amp;" / "&amp;Anmeldung!$J$44)&lt;&gt;Anmeldung!$P$18),Anmeldung!$B$44&amp;": "&amp;Anmeldung!$D$44&amp;", "&amp;Anmeldung!$E$44&amp;" / "&amp;Anmeldung!$G$44&amp;" / "&amp;Anmeldung!$J$44,"")</f>
        <v/>
      </c>
      <c r="C31" t="str">
        <f>IF(AND(37&lt;&gt;11,Anmeldung!$D$44&lt;&gt;"",Anmeldung!$G$44=Anmeldung!$G$18,Anmeldung!$J$44=Anmeldung!$J$18,(Anmeldung!$B$44&amp;": "&amp;Anmeldung!$D$44&amp;", "&amp;Anmeldung!$E$44&amp;" / "&amp;Anmeldung!$G$44&amp;" / "&amp;Anmeldung!$J$44)&lt;&gt;Anmeldung!$O$18),Anmeldung!$B$44&amp;": "&amp;Anmeldung!$D$44&amp;", "&amp;Anmeldung!$E$44&amp;" / "&amp;Anmeldung!$G$44&amp;" / "&amp;Anmeldung!$J$44,"")</f>
        <v/>
      </c>
      <c r="D31" t="str">
        <f>IF(AND(37&lt;&gt;11,Anmeldung!$D$44&lt;&gt;"",Anmeldung!$G$44&lt;&gt;Anmeldung!$G$18,(Anmeldung!$B$44&amp;": "&amp;Anmeldung!$D$44&amp;", "&amp;Anmeldung!$E$44&amp;" / "&amp;Anmeldung!$G$44&amp;" / "&amp;Anmeldung!$J$44)&lt;&gt;Anmeldung!$S$18),Anmeldung!$B$44&amp;": "&amp;Anmeldung!$D$44&amp;", "&amp;Anmeldung!$E$44&amp;" / "&amp;Anmeldung!$G$44&amp;" / "&amp;Anmeldung!$J$44,"")</f>
        <v/>
      </c>
      <c r="E31" t="str">
        <f>IF(AND(37&lt;&gt;11,Anmeldung!$D$44&lt;&gt;"",(Anmeldung!$B$44&amp;": "&amp;Anmeldung!$D$44&amp;", "&amp;Anmeldung!$E$44&amp;" / "&amp;Anmeldung!$G$44&amp;" / "&amp;Anmeldung!$J$44)&lt;&gt;Anmeldung!$R$18),Anmeldung!$B$44&amp;": "&amp;Anmeldung!$D$44&amp;", "&amp;Anmeldung!$E$44&amp;" / "&amp;Anmeldung!$G$44&amp;" / "&amp;Anmeldung!$J$44,"")</f>
        <v/>
      </c>
      <c r="F31" t="str">
        <f>IF(AND(36&lt;&gt;10,Anmeldung!$D$44&lt;&gt;"",Anmeldung!$U$44="Ja",Anmeldung!$G$44=Anmeldung!$G$18,Anmeldung!$J$44=Anmeldung!$J$18),Anmeldung!$B$44&amp;": "&amp;Anmeldung!$D$44&amp;", "&amp;Anmeldung!$E$44&amp;" / "&amp;Anmeldung!$G$44&amp;" / "&amp;Anmeldung!$J$44,"")</f>
        <v/>
      </c>
      <c r="I31" t="str">
        <f>IF(AND(37&lt;&gt;12,Anmeldung!$D$44&lt;&gt;"",Anmeldung!$G$44=Anmeldung!$G$19,Anmeldung!$J$44=Anmeldung!$J$19),Anmeldung!$B$44&amp;": "&amp;Anmeldung!$D$44&amp;", "&amp;Anmeldung!$E$44&amp;" / "&amp;Anmeldung!$G$44&amp;" / "&amp;Anmeldung!$J$44,"")</f>
        <v/>
      </c>
      <c r="J31" t="str">
        <f>IF(AND(37&lt;&gt;12,Anmeldung!$D$44&lt;&gt;"",Anmeldung!$G$44=Anmeldung!$G$19,Anmeldung!$J$44=Anmeldung!$J$19,(Anmeldung!$B$44&amp;": "&amp;Anmeldung!$D$44&amp;", "&amp;Anmeldung!$E$44&amp;" / "&amp;Anmeldung!$G$44&amp;" / "&amp;Anmeldung!$J$44)&lt;&gt;Anmeldung!$P$19),Anmeldung!$B$44&amp;": "&amp;Anmeldung!$D$44&amp;", "&amp;Anmeldung!$E$44&amp;" / "&amp;Anmeldung!$G$44&amp;" / "&amp;Anmeldung!$J$44,"")</f>
        <v/>
      </c>
      <c r="K31" t="str">
        <f>IF(AND(37&lt;&gt;12,Anmeldung!$D$44&lt;&gt;"",Anmeldung!$G$44=Anmeldung!$G$19,Anmeldung!$J$44=Anmeldung!$J$19,(Anmeldung!$B$44&amp;": "&amp;Anmeldung!$D$44&amp;", "&amp;Anmeldung!$E$44&amp;" / "&amp;Anmeldung!$G$44&amp;" / "&amp;Anmeldung!$J$44)&lt;&gt;Anmeldung!$O$19),Anmeldung!$B$44&amp;": "&amp;Anmeldung!$D$44&amp;", "&amp;Anmeldung!$E$44&amp;" / "&amp;Anmeldung!$G$44&amp;" / "&amp;Anmeldung!$J$44,"")</f>
        <v/>
      </c>
      <c r="L31" t="str">
        <f>IF(AND(37&lt;&gt;12,Anmeldung!$D$44&lt;&gt;"",Anmeldung!$G$44&lt;&gt;Anmeldung!$G$19,(Anmeldung!$B$44&amp;": "&amp;Anmeldung!$D$44&amp;", "&amp;Anmeldung!$E$44&amp;" / "&amp;Anmeldung!$G$44&amp;" / "&amp;Anmeldung!$J$44)&lt;&gt;Anmeldung!$S$19),Anmeldung!$B$44&amp;": "&amp;Anmeldung!$D$44&amp;", "&amp;Anmeldung!$E$44&amp;" / "&amp;Anmeldung!$G$44&amp;" / "&amp;Anmeldung!$J$44,"")</f>
        <v/>
      </c>
      <c r="M31" t="str">
        <f>IF(AND(37&lt;&gt;12,Anmeldung!$D$44&lt;&gt;"",(Anmeldung!$B$44&amp;": "&amp;Anmeldung!$D$44&amp;", "&amp;Anmeldung!$E$44&amp;" / "&amp;Anmeldung!$G$44&amp;" / "&amp;Anmeldung!$J$44)&lt;&gt;Anmeldung!$R$19),Anmeldung!$B$44&amp;": "&amp;Anmeldung!$D$44&amp;", "&amp;Anmeldung!$E$44&amp;" / "&amp;Anmeldung!$G$44&amp;" / "&amp;Anmeldung!$J$44,"")</f>
        <v/>
      </c>
      <c r="N31" t="str">
        <f>IF(AND(36&lt;&gt;11,Anmeldung!$D$44&lt;&gt;"",Anmeldung!$U$44="Ja",Anmeldung!$G$44=Anmeldung!$G$19,Anmeldung!$J$44=Anmeldung!$J$19),Anmeldung!$B$44&amp;": "&amp;Anmeldung!$D$44&amp;", "&amp;Anmeldung!$E$44&amp;" / "&amp;Anmeldung!$G$44&amp;" / "&amp;Anmeldung!$J$44,"")</f>
        <v/>
      </c>
      <c r="Q31" t="str">
        <f>IF(AND(37&lt;&gt;13,Anmeldung!$D$44&lt;&gt;"",Anmeldung!$G$44=Anmeldung!$G$20,Anmeldung!$J$44=Anmeldung!$J$20),Anmeldung!$B$44&amp;": "&amp;Anmeldung!$D$44&amp;", "&amp;Anmeldung!$E$44&amp;" / "&amp;Anmeldung!$G$44&amp;" / "&amp;Anmeldung!$J$44,"")</f>
        <v/>
      </c>
      <c r="R31" t="str">
        <f>IF(AND(37&lt;&gt;13,Anmeldung!$D$44&lt;&gt;"",Anmeldung!$G$44=Anmeldung!$G$20,Anmeldung!$J$44=Anmeldung!$J$20,(Anmeldung!$B$44&amp;": "&amp;Anmeldung!$D$44&amp;", "&amp;Anmeldung!$E$44&amp;" / "&amp;Anmeldung!$G$44&amp;" / "&amp;Anmeldung!$J$44)&lt;&gt;Anmeldung!$P$20),Anmeldung!$B$44&amp;": "&amp;Anmeldung!$D$44&amp;", "&amp;Anmeldung!$E$44&amp;" / "&amp;Anmeldung!$G$44&amp;" / "&amp;Anmeldung!$J$44,"")</f>
        <v/>
      </c>
      <c r="S31" t="str">
        <f>IF(AND(37&lt;&gt;13,Anmeldung!$D$44&lt;&gt;"",Anmeldung!$G$44=Anmeldung!$G$20,Anmeldung!$J$44=Anmeldung!$J$20,(Anmeldung!$B$44&amp;": "&amp;Anmeldung!$D$44&amp;", "&amp;Anmeldung!$E$44&amp;" / "&amp;Anmeldung!$G$44&amp;" / "&amp;Anmeldung!$J$44)&lt;&gt;Anmeldung!$O$20),Anmeldung!$B$44&amp;": "&amp;Anmeldung!$D$44&amp;", "&amp;Anmeldung!$E$44&amp;" / "&amp;Anmeldung!$G$44&amp;" / "&amp;Anmeldung!$J$44,"")</f>
        <v/>
      </c>
      <c r="T31" t="str">
        <f>IF(AND(37&lt;&gt;13,Anmeldung!$D$44&lt;&gt;"",Anmeldung!$G$44&lt;&gt;Anmeldung!$G$20,(Anmeldung!$B$44&amp;": "&amp;Anmeldung!$D$44&amp;", "&amp;Anmeldung!$E$44&amp;" / "&amp;Anmeldung!$G$44&amp;" / "&amp;Anmeldung!$J$44)&lt;&gt;Anmeldung!$S$20),Anmeldung!$B$44&amp;": "&amp;Anmeldung!$D$44&amp;", "&amp;Anmeldung!$E$44&amp;" / "&amp;Anmeldung!$G$44&amp;" / "&amp;Anmeldung!$J$44,"")</f>
        <v/>
      </c>
      <c r="U31" t="str">
        <f>IF(AND(37&lt;&gt;13,Anmeldung!$D$44&lt;&gt;"",(Anmeldung!$B$44&amp;": "&amp;Anmeldung!$D$44&amp;", "&amp;Anmeldung!$E$44&amp;" / "&amp;Anmeldung!$G$44&amp;" / "&amp;Anmeldung!$J$44)&lt;&gt;Anmeldung!$R$20),Anmeldung!$B$44&amp;": "&amp;Anmeldung!$D$44&amp;", "&amp;Anmeldung!$E$44&amp;" / "&amp;Anmeldung!$G$44&amp;" / "&amp;Anmeldung!$J$44,"")</f>
        <v/>
      </c>
      <c r="V31" t="str">
        <f>IF(AND(36&lt;&gt;12,Anmeldung!$D$44&lt;&gt;"",Anmeldung!$U$44="Ja",Anmeldung!$G$44=Anmeldung!$G$20,Anmeldung!$J$44=Anmeldung!$J$20),Anmeldung!$B$44&amp;": "&amp;Anmeldung!$D$44&amp;", "&amp;Anmeldung!$E$44&amp;" / "&amp;Anmeldung!$G$44&amp;" / "&amp;Anmeldung!$J$44,"")</f>
        <v/>
      </c>
      <c r="Y31" t="str">
        <f>IF(AND(37&lt;&gt;14,Anmeldung!$D$44&lt;&gt;"",Anmeldung!$G$44=Anmeldung!$G$21,Anmeldung!$J$44=Anmeldung!$J$21),Anmeldung!$B$44&amp;": "&amp;Anmeldung!$D$44&amp;", "&amp;Anmeldung!$E$44&amp;" / "&amp;Anmeldung!$G$44&amp;" / "&amp;Anmeldung!$J$44,"")</f>
        <v/>
      </c>
      <c r="Z31" t="str">
        <f>IF(AND(37&lt;&gt;14,Anmeldung!$D$44&lt;&gt;"",Anmeldung!$G$44=Anmeldung!$G$21,Anmeldung!$J$44=Anmeldung!$J$21,(Anmeldung!$B$44&amp;": "&amp;Anmeldung!$D$44&amp;", "&amp;Anmeldung!$E$44&amp;" / "&amp;Anmeldung!$G$44&amp;" / "&amp;Anmeldung!$J$44)&lt;&gt;Anmeldung!$P$21),Anmeldung!$B$44&amp;": "&amp;Anmeldung!$D$44&amp;", "&amp;Anmeldung!$E$44&amp;" / "&amp;Anmeldung!$G$44&amp;" / "&amp;Anmeldung!$J$44,"")</f>
        <v/>
      </c>
      <c r="AA31" t="str">
        <f>IF(AND(37&lt;&gt;14,Anmeldung!$D$44&lt;&gt;"",Anmeldung!$G$44=Anmeldung!$G$21,Anmeldung!$J$44=Anmeldung!$J$21,(Anmeldung!$B$44&amp;": "&amp;Anmeldung!$D$44&amp;", "&amp;Anmeldung!$E$44&amp;" / "&amp;Anmeldung!$G$44&amp;" / "&amp;Anmeldung!$J$44)&lt;&gt;Anmeldung!$O$21),Anmeldung!$B$44&amp;": "&amp;Anmeldung!$D$44&amp;", "&amp;Anmeldung!$E$44&amp;" / "&amp;Anmeldung!$G$44&amp;" / "&amp;Anmeldung!$J$44,"")</f>
        <v/>
      </c>
      <c r="AB31" t="str">
        <f>IF(AND(37&lt;&gt;14,Anmeldung!$D$44&lt;&gt;"",Anmeldung!$G$44&lt;&gt;Anmeldung!$G$21,(Anmeldung!$B$44&amp;": "&amp;Anmeldung!$D$44&amp;", "&amp;Anmeldung!$E$44&amp;" / "&amp;Anmeldung!$G$44&amp;" / "&amp;Anmeldung!$J$44)&lt;&gt;Anmeldung!$S$21),Anmeldung!$B$44&amp;": "&amp;Anmeldung!$D$44&amp;", "&amp;Anmeldung!$E$44&amp;" / "&amp;Anmeldung!$G$44&amp;" / "&amp;Anmeldung!$J$44,"")</f>
        <v/>
      </c>
      <c r="AC31" t="str">
        <f>IF(AND(37&lt;&gt;14,Anmeldung!$D$44&lt;&gt;"",(Anmeldung!$B$44&amp;": "&amp;Anmeldung!$D$44&amp;", "&amp;Anmeldung!$E$44&amp;" / "&amp;Anmeldung!$G$44&amp;" / "&amp;Anmeldung!$J$44)&lt;&gt;Anmeldung!$R$21),Anmeldung!$B$44&amp;": "&amp;Anmeldung!$D$44&amp;", "&amp;Anmeldung!$E$44&amp;" / "&amp;Anmeldung!$G$44&amp;" / "&amp;Anmeldung!$J$44,"")</f>
        <v/>
      </c>
      <c r="AD31" t="str">
        <f>IF(AND(36&lt;&gt;13,Anmeldung!$D$44&lt;&gt;"",Anmeldung!$U$44="Ja",Anmeldung!$G$44=Anmeldung!$G$21,Anmeldung!$J$44=Anmeldung!$J$21),Anmeldung!$B$44&amp;": "&amp;Anmeldung!$D$44&amp;", "&amp;Anmeldung!$E$44&amp;" / "&amp;Anmeldung!$G$44&amp;" / "&amp;Anmeldung!$J$44,"")</f>
        <v/>
      </c>
      <c r="AG31" t="str">
        <f>IF(AND(37&lt;&gt;15,Anmeldung!$D$44&lt;&gt;"",Anmeldung!$G$44=Anmeldung!$G$22,Anmeldung!$J$44=Anmeldung!$J$22),Anmeldung!$B$44&amp;": "&amp;Anmeldung!$D$44&amp;", "&amp;Anmeldung!$E$44&amp;" / "&amp;Anmeldung!$G$44&amp;" / "&amp;Anmeldung!$J$44,"")</f>
        <v/>
      </c>
      <c r="AH31" t="str">
        <f>IF(AND(37&lt;&gt;15,Anmeldung!$D$44&lt;&gt;"",Anmeldung!$G$44=Anmeldung!$G$22,Anmeldung!$J$44=Anmeldung!$J$22,(Anmeldung!$B$44&amp;": "&amp;Anmeldung!$D$44&amp;", "&amp;Anmeldung!$E$44&amp;" / "&amp;Anmeldung!$G$44&amp;" / "&amp;Anmeldung!$J$44)&lt;&gt;Anmeldung!$P$22),Anmeldung!$B$44&amp;": "&amp;Anmeldung!$D$44&amp;", "&amp;Anmeldung!$E$44&amp;" / "&amp;Anmeldung!$G$44&amp;" / "&amp;Anmeldung!$J$44,"")</f>
        <v/>
      </c>
      <c r="AI31" t="str">
        <f>IF(AND(37&lt;&gt;15,Anmeldung!$D$44&lt;&gt;"",Anmeldung!$G$44=Anmeldung!$G$22,Anmeldung!$J$44=Anmeldung!$J$22,(Anmeldung!$B$44&amp;": "&amp;Anmeldung!$D$44&amp;", "&amp;Anmeldung!$E$44&amp;" / "&amp;Anmeldung!$G$44&amp;" / "&amp;Anmeldung!$J$44)&lt;&gt;Anmeldung!$O$22),Anmeldung!$B$44&amp;": "&amp;Anmeldung!$D$44&amp;", "&amp;Anmeldung!$E$44&amp;" / "&amp;Anmeldung!$G$44&amp;" / "&amp;Anmeldung!$J$44,"")</f>
        <v/>
      </c>
      <c r="AJ31" t="str">
        <f>IF(AND(37&lt;&gt;15,Anmeldung!$D$44&lt;&gt;"",Anmeldung!$G$44&lt;&gt;Anmeldung!$G$22,(Anmeldung!$B$44&amp;": "&amp;Anmeldung!$D$44&amp;", "&amp;Anmeldung!$E$44&amp;" / "&amp;Anmeldung!$G$44&amp;" / "&amp;Anmeldung!$J$44)&lt;&gt;Anmeldung!$S$22),Anmeldung!$B$44&amp;": "&amp;Anmeldung!$D$44&amp;", "&amp;Anmeldung!$E$44&amp;" / "&amp;Anmeldung!$G$44&amp;" / "&amp;Anmeldung!$J$44,"")</f>
        <v/>
      </c>
      <c r="AK31" t="str">
        <f>IF(AND(37&lt;&gt;15,Anmeldung!$D$44&lt;&gt;"",(Anmeldung!$B$44&amp;": "&amp;Anmeldung!$D$44&amp;", "&amp;Anmeldung!$E$44&amp;" / "&amp;Anmeldung!$G$44&amp;" / "&amp;Anmeldung!$J$44)&lt;&gt;Anmeldung!$R$22),Anmeldung!$B$44&amp;": "&amp;Anmeldung!$D$44&amp;", "&amp;Anmeldung!$E$44&amp;" / "&amp;Anmeldung!$G$44&amp;" / "&amp;Anmeldung!$J$44,"")</f>
        <v/>
      </c>
      <c r="AL31" t="str">
        <f>IF(AND(36&lt;&gt;14,Anmeldung!$D$44&lt;&gt;"",Anmeldung!$U$44="Ja",Anmeldung!$G$44=Anmeldung!$G$22,Anmeldung!$J$44=Anmeldung!$J$22),Anmeldung!$B$44&amp;": "&amp;Anmeldung!$D$44&amp;", "&amp;Anmeldung!$E$44&amp;" / "&amp;Anmeldung!$G$44&amp;" / "&amp;Anmeldung!$J$44,"")</f>
        <v/>
      </c>
      <c r="AO31" t="str">
        <f>IF(AND(37&lt;&gt;16,Anmeldung!$D$44&lt;&gt;"",Anmeldung!$G$44=Anmeldung!$G$23,Anmeldung!$J$44=Anmeldung!$J$23),Anmeldung!$B$44&amp;": "&amp;Anmeldung!$D$44&amp;", "&amp;Anmeldung!$E$44&amp;" / "&amp;Anmeldung!$G$44&amp;" / "&amp;Anmeldung!$J$44,"")</f>
        <v/>
      </c>
      <c r="AP31" t="str">
        <f>IF(AND(37&lt;&gt;16,Anmeldung!$D$44&lt;&gt;"",Anmeldung!$G$44=Anmeldung!$G$23,Anmeldung!$J$44=Anmeldung!$J$23,(Anmeldung!$B$44&amp;": "&amp;Anmeldung!$D$44&amp;", "&amp;Anmeldung!$E$44&amp;" / "&amp;Anmeldung!$G$44&amp;" / "&amp;Anmeldung!$J$44)&lt;&gt;Anmeldung!$P$23),Anmeldung!$B$44&amp;": "&amp;Anmeldung!$D$44&amp;", "&amp;Anmeldung!$E$44&amp;" / "&amp;Anmeldung!$G$44&amp;" / "&amp;Anmeldung!$J$44,"")</f>
        <v/>
      </c>
      <c r="AQ31" t="str">
        <f>IF(AND(37&lt;&gt;16,Anmeldung!$D$44&lt;&gt;"",Anmeldung!$G$44=Anmeldung!$G$23,Anmeldung!$J$44=Anmeldung!$J$23,(Anmeldung!$B$44&amp;": "&amp;Anmeldung!$D$44&amp;", "&amp;Anmeldung!$E$44&amp;" / "&amp;Anmeldung!$G$44&amp;" / "&amp;Anmeldung!$J$44)&lt;&gt;Anmeldung!$O$23),Anmeldung!$B$44&amp;": "&amp;Anmeldung!$D$44&amp;", "&amp;Anmeldung!$E$44&amp;" / "&amp;Anmeldung!$G$44&amp;" / "&amp;Anmeldung!$J$44,"")</f>
        <v/>
      </c>
      <c r="AR31" t="str">
        <f>IF(AND(37&lt;&gt;16,Anmeldung!$D$44&lt;&gt;"",Anmeldung!$G$44&lt;&gt;Anmeldung!$G$23,(Anmeldung!$B$44&amp;": "&amp;Anmeldung!$D$44&amp;", "&amp;Anmeldung!$E$44&amp;" / "&amp;Anmeldung!$G$44&amp;" / "&amp;Anmeldung!$J$44)&lt;&gt;Anmeldung!$S$23),Anmeldung!$B$44&amp;": "&amp;Anmeldung!$D$44&amp;", "&amp;Anmeldung!$E$44&amp;" / "&amp;Anmeldung!$G$44&amp;" / "&amp;Anmeldung!$J$44,"")</f>
        <v/>
      </c>
      <c r="AS31" t="str">
        <f>IF(AND(37&lt;&gt;16,Anmeldung!$D$44&lt;&gt;"",(Anmeldung!$B$44&amp;": "&amp;Anmeldung!$D$44&amp;", "&amp;Anmeldung!$E$44&amp;" / "&amp;Anmeldung!$G$44&amp;" / "&amp;Anmeldung!$J$44)&lt;&gt;Anmeldung!$R$23),Anmeldung!$B$44&amp;": "&amp;Anmeldung!$D$44&amp;", "&amp;Anmeldung!$E$44&amp;" / "&amp;Anmeldung!$G$44&amp;" / "&amp;Anmeldung!$J$44,"")</f>
        <v/>
      </c>
      <c r="AT31" t="str">
        <f>IF(AND(36&lt;&gt;15,Anmeldung!$D$44&lt;&gt;"",Anmeldung!$U$44="Ja",Anmeldung!$G$44=Anmeldung!$G$23,Anmeldung!$J$44=Anmeldung!$J$23),Anmeldung!$B$44&amp;": "&amp;Anmeldung!$D$44&amp;", "&amp;Anmeldung!$E$44&amp;" / "&amp;Anmeldung!$G$44&amp;" / "&amp;Anmeldung!$J$44,"")</f>
        <v/>
      </c>
      <c r="AW31" t="str">
        <f>IF(AND(37&lt;&gt;17,Anmeldung!$D$44&lt;&gt;"",Anmeldung!$G$44=Anmeldung!$G$24,Anmeldung!$J$44=Anmeldung!$J$24),Anmeldung!$B$44&amp;": "&amp;Anmeldung!$D$44&amp;", "&amp;Anmeldung!$E$44&amp;" / "&amp;Anmeldung!$G$44&amp;" / "&amp;Anmeldung!$J$44,"")</f>
        <v/>
      </c>
      <c r="AX31" t="str">
        <f>IF(AND(37&lt;&gt;17,Anmeldung!$D$44&lt;&gt;"",Anmeldung!$G$44=Anmeldung!$G$24,Anmeldung!$J$44=Anmeldung!$J$24,(Anmeldung!$B$44&amp;": "&amp;Anmeldung!$D$44&amp;", "&amp;Anmeldung!$E$44&amp;" / "&amp;Anmeldung!$G$44&amp;" / "&amp;Anmeldung!$J$44)&lt;&gt;Anmeldung!$P$24),Anmeldung!$B$44&amp;": "&amp;Anmeldung!$D$44&amp;", "&amp;Anmeldung!$E$44&amp;" / "&amp;Anmeldung!$G$44&amp;" / "&amp;Anmeldung!$J$44,"")</f>
        <v/>
      </c>
      <c r="AY31" t="str">
        <f>IF(AND(37&lt;&gt;17,Anmeldung!$D$44&lt;&gt;"",Anmeldung!$G$44=Anmeldung!$G$24,Anmeldung!$J$44=Anmeldung!$J$24,(Anmeldung!$B$44&amp;": "&amp;Anmeldung!$D$44&amp;", "&amp;Anmeldung!$E$44&amp;" / "&amp;Anmeldung!$G$44&amp;" / "&amp;Anmeldung!$J$44)&lt;&gt;Anmeldung!$O$24),Anmeldung!$B$44&amp;": "&amp;Anmeldung!$D$44&amp;", "&amp;Anmeldung!$E$44&amp;" / "&amp;Anmeldung!$G$44&amp;" / "&amp;Anmeldung!$J$44,"")</f>
        <v/>
      </c>
      <c r="AZ31" t="str">
        <f>IF(AND(37&lt;&gt;17,Anmeldung!$D$44&lt;&gt;"",Anmeldung!$G$44&lt;&gt;Anmeldung!$G$24,(Anmeldung!$B$44&amp;": "&amp;Anmeldung!$D$44&amp;", "&amp;Anmeldung!$E$44&amp;" / "&amp;Anmeldung!$G$44&amp;" / "&amp;Anmeldung!$J$44)&lt;&gt;Anmeldung!$S$24),Anmeldung!$B$44&amp;": "&amp;Anmeldung!$D$44&amp;", "&amp;Anmeldung!$E$44&amp;" / "&amp;Anmeldung!$G$44&amp;" / "&amp;Anmeldung!$J$44,"")</f>
        <v/>
      </c>
      <c r="BA31" t="str">
        <f>IF(AND(37&lt;&gt;17,Anmeldung!$D$44&lt;&gt;"",(Anmeldung!$B$44&amp;": "&amp;Anmeldung!$D$44&amp;", "&amp;Anmeldung!$E$44&amp;" / "&amp;Anmeldung!$G$44&amp;" / "&amp;Anmeldung!$J$44)&lt;&gt;Anmeldung!$R$24),Anmeldung!$B$44&amp;": "&amp;Anmeldung!$D$44&amp;", "&amp;Anmeldung!$E$44&amp;" / "&amp;Anmeldung!$G$44&amp;" / "&amp;Anmeldung!$J$44,"")</f>
        <v/>
      </c>
      <c r="BB31" t="str">
        <f>IF(AND(36&lt;&gt;16,Anmeldung!$D$44&lt;&gt;"",Anmeldung!$U$44="Ja",Anmeldung!$G$44=Anmeldung!$G$24,Anmeldung!$J$44=Anmeldung!$J$24),Anmeldung!$B$44&amp;": "&amp;Anmeldung!$D$44&amp;", "&amp;Anmeldung!$E$44&amp;" / "&amp;Anmeldung!$G$44&amp;" / "&amp;Anmeldung!$J$44,"")</f>
        <v/>
      </c>
      <c r="BE31" t="str">
        <f>IF(AND(37&lt;&gt;18,Anmeldung!$D$44&lt;&gt;"",Anmeldung!$G$44=Anmeldung!$G$25,Anmeldung!$J$44=Anmeldung!$J$25),Anmeldung!$B$44&amp;": "&amp;Anmeldung!$D$44&amp;", "&amp;Anmeldung!$E$44&amp;" / "&amp;Anmeldung!$G$44&amp;" / "&amp;Anmeldung!$J$44,"")</f>
        <v/>
      </c>
      <c r="BF31" t="str">
        <f>IF(AND(37&lt;&gt;18,Anmeldung!$D$44&lt;&gt;"",Anmeldung!$G$44=Anmeldung!$G$25,Anmeldung!$J$44=Anmeldung!$J$25,(Anmeldung!$B$44&amp;": "&amp;Anmeldung!$D$44&amp;", "&amp;Anmeldung!$E$44&amp;" / "&amp;Anmeldung!$G$44&amp;" / "&amp;Anmeldung!$J$44)&lt;&gt;Anmeldung!$P$25),Anmeldung!$B$44&amp;": "&amp;Anmeldung!$D$44&amp;", "&amp;Anmeldung!$E$44&amp;" / "&amp;Anmeldung!$G$44&amp;" / "&amp;Anmeldung!$J$44,"")</f>
        <v/>
      </c>
      <c r="BG31" t="str">
        <f>IF(AND(37&lt;&gt;18,Anmeldung!$D$44&lt;&gt;"",Anmeldung!$G$44=Anmeldung!$G$25,Anmeldung!$J$44=Anmeldung!$J$25,(Anmeldung!$B$44&amp;": "&amp;Anmeldung!$D$44&amp;", "&amp;Anmeldung!$E$44&amp;" / "&amp;Anmeldung!$G$44&amp;" / "&amp;Anmeldung!$J$44)&lt;&gt;Anmeldung!$O$25),Anmeldung!$B$44&amp;": "&amp;Anmeldung!$D$44&amp;", "&amp;Anmeldung!$E$44&amp;" / "&amp;Anmeldung!$G$44&amp;" / "&amp;Anmeldung!$J$44,"")</f>
        <v/>
      </c>
      <c r="BH31" t="str">
        <f>IF(AND(37&lt;&gt;18,Anmeldung!$D$44&lt;&gt;"",Anmeldung!$G$44&lt;&gt;Anmeldung!$G$25,(Anmeldung!$B$44&amp;": "&amp;Anmeldung!$D$44&amp;", "&amp;Anmeldung!$E$44&amp;" / "&amp;Anmeldung!$G$44&amp;" / "&amp;Anmeldung!$J$44)&lt;&gt;Anmeldung!$S$25),Anmeldung!$B$44&amp;": "&amp;Anmeldung!$D$44&amp;", "&amp;Anmeldung!$E$44&amp;" / "&amp;Anmeldung!$G$44&amp;" / "&amp;Anmeldung!$J$44,"")</f>
        <v/>
      </c>
      <c r="BI31" t="str">
        <f>IF(AND(37&lt;&gt;18,Anmeldung!$D$44&lt;&gt;"",(Anmeldung!$B$44&amp;": "&amp;Anmeldung!$D$44&amp;", "&amp;Anmeldung!$E$44&amp;" / "&amp;Anmeldung!$G$44&amp;" / "&amp;Anmeldung!$J$44)&lt;&gt;Anmeldung!$R$25),Anmeldung!$B$44&amp;": "&amp;Anmeldung!$D$44&amp;", "&amp;Anmeldung!$E$44&amp;" / "&amp;Anmeldung!$G$44&amp;" / "&amp;Anmeldung!$J$44,"")</f>
        <v/>
      </c>
      <c r="BJ31" t="str">
        <f>IF(AND(36&lt;&gt;17,Anmeldung!$D$44&lt;&gt;"",Anmeldung!$U$44="Ja",Anmeldung!$G$44=Anmeldung!$G$25,Anmeldung!$J$44=Anmeldung!$J$25),Anmeldung!$B$44&amp;": "&amp;Anmeldung!$D$44&amp;", "&amp;Anmeldung!$E$44&amp;" / "&amp;Anmeldung!$G$44&amp;" / "&amp;Anmeldung!$J$44,"")</f>
        <v/>
      </c>
      <c r="BM31" t="str">
        <f>IF(AND(37&lt;&gt;19,Anmeldung!$D$44&lt;&gt;"",Anmeldung!$G$44=Anmeldung!$G$26,Anmeldung!$J$44=Anmeldung!$J$26),Anmeldung!$B$44&amp;": "&amp;Anmeldung!$D$44&amp;", "&amp;Anmeldung!$E$44&amp;" / "&amp;Anmeldung!$G$44&amp;" / "&amp;Anmeldung!$J$44,"")</f>
        <v/>
      </c>
      <c r="BN31" t="str">
        <f>IF(AND(37&lt;&gt;19,Anmeldung!$D$44&lt;&gt;"",Anmeldung!$G$44=Anmeldung!$G$26,Anmeldung!$J$44=Anmeldung!$J$26,(Anmeldung!$B$44&amp;": "&amp;Anmeldung!$D$44&amp;", "&amp;Anmeldung!$E$44&amp;" / "&amp;Anmeldung!$G$44&amp;" / "&amp;Anmeldung!$J$44)&lt;&gt;Anmeldung!$P$26),Anmeldung!$B$44&amp;": "&amp;Anmeldung!$D$44&amp;", "&amp;Anmeldung!$E$44&amp;" / "&amp;Anmeldung!$G$44&amp;" / "&amp;Anmeldung!$J$44,"")</f>
        <v/>
      </c>
      <c r="BO31" t="str">
        <f>IF(AND(37&lt;&gt;19,Anmeldung!$D$44&lt;&gt;"",Anmeldung!$G$44=Anmeldung!$G$26,Anmeldung!$J$44=Anmeldung!$J$26,(Anmeldung!$B$44&amp;": "&amp;Anmeldung!$D$44&amp;", "&amp;Anmeldung!$E$44&amp;" / "&amp;Anmeldung!$G$44&amp;" / "&amp;Anmeldung!$J$44)&lt;&gt;Anmeldung!$O$26),Anmeldung!$B$44&amp;": "&amp;Anmeldung!$D$44&amp;", "&amp;Anmeldung!$E$44&amp;" / "&amp;Anmeldung!$G$44&amp;" / "&amp;Anmeldung!$J$44,"")</f>
        <v/>
      </c>
      <c r="BP31" t="str">
        <f>IF(AND(37&lt;&gt;19,Anmeldung!$D$44&lt;&gt;"",Anmeldung!$G$44&lt;&gt;Anmeldung!$G$26,(Anmeldung!$B$44&amp;": "&amp;Anmeldung!$D$44&amp;", "&amp;Anmeldung!$E$44&amp;" / "&amp;Anmeldung!$G$44&amp;" / "&amp;Anmeldung!$J$44)&lt;&gt;Anmeldung!$S$26),Anmeldung!$B$44&amp;": "&amp;Anmeldung!$D$44&amp;", "&amp;Anmeldung!$E$44&amp;" / "&amp;Anmeldung!$G$44&amp;" / "&amp;Anmeldung!$J$44,"")</f>
        <v/>
      </c>
      <c r="BQ31" t="str">
        <f>IF(AND(37&lt;&gt;19,Anmeldung!$D$44&lt;&gt;"",(Anmeldung!$B$44&amp;": "&amp;Anmeldung!$D$44&amp;", "&amp;Anmeldung!$E$44&amp;" / "&amp;Anmeldung!$G$44&amp;" / "&amp;Anmeldung!$J$44)&lt;&gt;Anmeldung!$R$26),Anmeldung!$B$44&amp;": "&amp;Anmeldung!$D$44&amp;", "&amp;Anmeldung!$E$44&amp;" / "&amp;Anmeldung!$G$44&amp;" / "&amp;Anmeldung!$J$44,"")</f>
        <v/>
      </c>
      <c r="BR31" t="str">
        <f>IF(AND(36&lt;&gt;18,Anmeldung!$D$44&lt;&gt;"",Anmeldung!$U$44="Ja",Anmeldung!$G$44=Anmeldung!$G$26,Anmeldung!$J$44=Anmeldung!$J$26),Anmeldung!$B$44&amp;": "&amp;Anmeldung!$D$44&amp;", "&amp;Anmeldung!$E$44&amp;" / "&amp;Anmeldung!$G$44&amp;" / "&amp;Anmeldung!$J$44,"")</f>
        <v/>
      </c>
      <c r="BU31" t="str">
        <f>IF(AND(37&lt;&gt;20,Anmeldung!$D$44&lt;&gt;"",Anmeldung!$G$44=Anmeldung!$G$27,Anmeldung!$J$44=Anmeldung!$J$27),Anmeldung!$B$44&amp;": "&amp;Anmeldung!$D$44&amp;", "&amp;Anmeldung!$E$44&amp;" / "&amp;Anmeldung!$G$44&amp;" / "&amp;Anmeldung!$J$44,"")</f>
        <v/>
      </c>
      <c r="BV31" t="str">
        <f>IF(AND(37&lt;&gt;20,Anmeldung!$D$44&lt;&gt;"",Anmeldung!$G$44=Anmeldung!$G$27,Anmeldung!$J$44=Anmeldung!$J$27,(Anmeldung!$B$44&amp;": "&amp;Anmeldung!$D$44&amp;", "&amp;Anmeldung!$E$44&amp;" / "&amp;Anmeldung!$G$44&amp;" / "&amp;Anmeldung!$J$44)&lt;&gt;Anmeldung!$P$27),Anmeldung!$B$44&amp;": "&amp;Anmeldung!$D$44&amp;", "&amp;Anmeldung!$E$44&amp;" / "&amp;Anmeldung!$G$44&amp;" / "&amp;Anmeldung!$J$44,"")</f>
        <v/>
      </c>
      <c r="BW31" t="str">
        <f>IF(AND(37&lt;&gt;20,Anmeldung!$D$44&lt;&gt;"",Anmeldung!$G$44=Anmeldung!$G$27,Anmeldung!$J$44=Anmeldung!$J$27,(Anmeldung!$B$44&amp;": "&amp;Anmeldung!$D$44&amp;", "&amp;Anmeldung!$E$44&amp;" / "&amp;Anmeldung!$G$44&amp;" / "&amp;Anmeldung!$J$44)&lt;&gt;Anmeldung!$O$27),Anmeldung!$B$44&amp;": "&amp;Anmeldung!$D$44&amp;", "&amp;Anmeldung!$E$44&amp;" / "&amp;Anmeldung!$G$44&amp;" / "&amp;Anmeldung!$J$44,"")</f>
        <v/>
      </c>
      <c r="BX31" t="str">
        <f>IF(AND(37&lt;&gt;20,Anmeldung!$D$44&lt;&gt;"",Anmeldung!$G$44&lt;&gt;Anmeldung!$G$27,(Anmeldung!$B$44&amp;": "&amp;Anmeldung!$D$44&amp;", "&amp;Anmeldung!$E$44&amp;" / "&amp;Anmeldung!$G$44&amp;" / "&amp;Anmeldung!$J$44)&lt;&gt;Anmeldung!$S$27),Anmeldung!$B$44&amp;": "&amp;Anmeldung!$D$44&amp;", "&amp;Anmeldung!$E$44&amp;" / "&amp;Anmeldung!$G$44&amp;" / "&amp;Anmeldung!$J$44,"")</f>
        <v/>
      </c>
      <c r="BY31" t="str">
        <f>IF(AND(37&lt;&gt;20,Anmeldung!$D$44&lt;&gt;"",(Anmeldung!$B$44&amp;": "&amp;Anmeldung!$D$44&amp;", "&amp;Anmeldung!$E$44&amp;" / "&amp;Anmeldung!$G$44&amp;" / "&amp;Anmeldung!$J$44)&lt;&gt;Anmeldung!$R$27),Anmeldung!$B$44&amp;": "&amp;Anmeldung!$D$44&amp;", "&amp;Anmeldung!$E$44&amp;" / "&amp;Anmeldung!$G$44&amp;" / "&amp;Anmeldung!$J$44,"")</f>
        <v/>
      </c>
      <c r="BZ31" t="str">
        <f>IF(AND(36&lt;&gt;19,Anmeldung!$D$44&lt;&gt;"",Anmeldung!$U$44="Ja",Anmeldung!$G$44=Anmeldung!$G$27,Anmeldung!$J$44=Anmeldung!$J$27),Anmeldung!$B$44&amp;": "&amp;Anmeldung!$D$44&amp;", "&amp;Anmeldung!$E$44&amp;" / "&amp;Anmeldung!$G$44&amp;" / "&amp;Anmeldung!$J$44,"")</f>
        <v/>
      </c>
      <c r="CC31" t="str">
        <f>IF(AND(37&lt;&gt;21,Anmeldung!$D$44&lt;&gt;"",Anmeldung!$G$44=Anmeldung!$G$28,Anmeldung!$J$44=Anmeldung!$J$28),Anmeldung!$B$44&amp;": "&amp;Anmeldung!$D$44&amp;", "&amp;Anmeldung!$E$44&amp;" / "&amp;Anmeldung!$G$44&amp;" / "&amp;Anmeldung!$J$44,"")</f>
        <v/>
      </c>
      <c r="CD31" t="str">
        <f>IF(AND(37&lt;&gt;21,Anmeldung!$D$44&lt;&gt;"",Anmeldung!$G$44=Anmeldung!$G$28,Anmeldung!$J$44=Anmeldung!$J$28,(Anmeldung!$B$44&amp;": "&amp;Anmeldung!$D$44&amp;", "&amp;Anmeldung!$E$44&amp;" / "&amp;Anmeldung!$G$44&amp;" / "&amp;Anmeldung!$J$44)&lt;&gt;Anmeldung!$P$28),Anmeldung!$B$44&amp;": "&amp;Anmeldung!$D$44&amp;", "&amp;Anmeldung!$E$44&amp;" / "&amp;Anmeldung!$G$44&amp;" / "&amp;Anmeldung!$J$44,"")</f>
        <v/>
      </c>
      <c r="CE31" t="str">
        <f>IF(AND(37&lt;&gt;21,Anmeldung!$D$44&lt;&gt;"",Anmeldung!$G$44=Anmeldung!$G$28,Anmeldung!$J$44=Anmeldung!$J$28,(Anmeldung!$B$44&amp;": "&amp;Anmeldung!$D$44&amp;", "&amp;Anmeldung!$E$44&amp;" / "&amp;Anmeldung!$G$44&amp;" / "&amp;Anmeldung!$J$44)&lt;&gt;Anmeldung!$O$28),Anmeldung!$B$44&amp;": "&amp;Anmeldung!$D$44&amp;", "&amp;Anmeldung!$E$44&amp;" / "&amp;Anmeldung!$G$44&amp;" / "&amp;Anmeldung!$J$44,"")</f>
        <v/>
      </c>
      <c r="CF31" t="str">
        <f>IF(AND(37&lt;&gt;21,Anmeldung!$D$44&lt;&gt;"",Anmeldung!$G$44&lt;&gt;Anmeldung!$G$28,(Anmeldung!$B$44&amp;": "&amp;Anmeldung!$D$44&amp;", "&amp;Anmeldung!$E$44&amp;" / "&amp;Anmeldung!$G$44&amp;" / "&amp;Anmeldung!$J$44)&lt;&gt;Anmeldung!$S$28),Anmeldung!$B$44&amp;": "&amp;Anmeldung!$D$44&amp;", "&amp;Anmeldung!$E$44&amp;" / "&amp;Anmeldung!$G$44&amp;" / "&amp;Anmeldung!$J$44,"")</f>
        <v/>
      </c>
      <c r="CG31" t="str">
        <f>IF(AND(37&lt;&gt;21,Anmeldung!$D$44&lt;&gt;"",(Anmeldung!$B$44&amp;": "&amp;Anmeldung!$D$44&amp;", "&amp;Anmeldung!$E$44&amp;" / "&amp;Anmeldung!$G$44&amp;" / "&amp;Anmeldung!$J$44)&lt;&gt;Anmeldung!$R$28),Anmeldung!$B$44&amp;": "&amp;Anmeldung!$D$44&amp;", "&amp;Anmeldung!$E$44&amp;" / "&amp;Anmeldung!$G$44&amp;" / "&amp;Anmeldung!$J$44,"")</f>
        <v/>
      </c>
      <c r="CH31" t="str">
        <f>IF(AND(36&lt;&gt;20,Anmeldung!$D$44&lt;&gt;"",Anmeldung!$U$44="Ja",Anmeldung!$G$44=Anmeldung!$G$28,Anmeldung!$J$44=Anmeldung!$J$28),Anmeldung!$B$44&amp;": "&amp;Anmeldung!$D$44&amp;", "&amp;Anmeldung!$E$44&amp;" / "&amp;Anmeldung!$G$44&amp;" / "&amp;Anmeldung!$J$44,"")</f>
        <v/>
      </c>
      <c r="CK31" t="str">
        <f>IF(AND(37&lt;&gt;22,Anmeldung!$D$44&lt;&gt;"",Anmeldung!$G$44=Anmeldung!$G$29,Anmeldung!$J$44=Anmeldung!$J$29),Anmeldung!$B$44&amp;": "&amp;Anmeldung!$D$44&amp;", "&amp;Anmeldung!$E$44&amp;" / "&amp;Anmeldung!$G$44&amp;" / "&amp;Anmeldung!$J$44,"")</f>
        <v/>
      </c>
      <c r="CL31" t="str">
        <f>IF(AND(37&lt;&gt;22,Anmeldung!$D$44&lt;&gt;"",Anmeldung!$G$44=Anmeldung!$G$29,Anmeldung!$J$44=Anmeldung!$J$29,(Anmeldung!$B$44&amp;": "&amp;Anmeldung!$D$44&amp;", "&amp;Anmeldung!$E$44&amp;" / "&amp;Anmeldung!$G$44&amp;" / "&amp;Anmeldung!$J$44)&lt;&gt;Anmeldung!$P$29),Anmeldung!$B$44&amp;": "&amp;Anmeldung!$D$44&amp;", "&amp;Anmeldung!$E$44&amp;" / "&amp;Anmeldung!$G$44&amp;" / "&amp;Anmeldung!$J$44,"")</f>
        <v/>
      </c>
      <c r="CM31" t="str">
        <f>IF(AND(37&lt;&gt;22,Anmeldung!$D$44&lt;&gt;"",Anmeldung!$G$44=Anmeldung!$G$29,Anmeldung!$J$44=Anmeldung!$J$29,(Anmeldung!$B$44&amp;": "&amp;Anmeldung!$D$44&amp;", "&amp;Anmeldung!$E$44&amp;" / "&amp;Anmeldung!$G$44&amp;" / "&amp;Anmeldung!$J$44)&lt;&gt;Anmeldung!$O$29),Anmeldung!$B$44&amp;": "&amp;Anmeldung!$D$44&amp;", "&amp;Anmeldung!$E$44&amp;" / "&amp;Anmeldung!$G$44&amp;" / "&amp;Anmeldung!$J$44,"")</f>
        <v/>
      </c>
      <c r="CN31" t="str">
        <f>IF(AND(37&lt;&gt;22,Anmeldung!$D$44&lt;&gt;"",Anmeldung!$G$44&lt;&gt;Anmeldung!$G$29,(Anmeldung!$B$44&amp;": "&amp;Anmeldung!$D$44&amp;", "&amp;Anmeldung!$E$44&amp;" / "&amp;Anmeldung!$G$44&amp;" / "&amp;Anmeldung!$J$44)&lt;&gt;Anmeldung!$S$29),Anmeldung!$B$44&amp;": "&amp;Anmeldung!$D$44&amp;", "&amp;Anmeldung!$E$44&amp;" / "&amp;Anmeldung!$G$44&amp;" / "&amp;Anmeldung!$J$44,"")</f>
        <v/>
      </c>
      <c r="CO31" t="str">
        <f>IF(AND(37&lt;&gt;22,Anmeldung!$D$44&lt;&gt;"",(Anmeldung!$B$44&amp;": "&amp;Anmeldung!$D$44&amp;", "&amp;Anmeldung!$E$44&amp;" / "&amp;Anmeldung!$G$44&amp;" / "&amp;Anmeldung!$J$44)&lt;&gt;Anmeldung!$R$29),Anmeldung!$B$44&amp;": "&amp;Anmeldung!$D$44&amp;", "&amp;Anmeldung!$E$44&amp;" / "&amp;Anmeldung!$G$44&amp;" / "&amp;Anmeldung!$J$44,"")</f>
        <v/>
      </c>
      <c r="CP31" t="str">
        <f>IF(AND(36&lt;&gt;21,Anmeldung!$D$44&lt;&gt;"",Anmeldung!$U$44="Ja",Anmeldung!$G$44=Anmeldung!$G$29,Anmeldung!$J$44=Anmeldung!$J$29),Anmeldung!$B$44&amp;": "&amp;Anmeldung!$D$44&amp;", "&amp;Anmeldung!$E$44&amp;" / "&amp;Anmeldung!$G$44&amp;" / "&amp;Anmeldung!$J$44,"")</f>
        <v/>
      </c>
      <c r="CS31" t="str">
        <f>IF(AND(37&lt;&gt;23,Anmeldung!$D$44&lt;&gt;"",Anmeldung!$G$44=Anmeldung!$G$30,Anmeldung!$J$44=Anmeldung!$J$30),Anmeldung!$B$44&amp;": "&amp;Anmeldung!$D$44&amp;", "&amp;Anmeldung!$E$44&amp;" / "&amp;Anmeldung!$G$44&amp;" / "&amp;Anmeldung!$J$44,"")</f>
        <v/>
      </c>
      <c r="CT31" t="str">
        <f>IF(AND(37&lt;&gt;23,Anmeldung!$D$44&lt;&gt;"",Anmeldung!$G$44=Anmeldung!$G$30,Anmeldung!$J$44=Anmeldung!$J$30,(Anmeldung!$B$44&amp;": "&amp;Anmeldung!$D$44&amp;", "&amp;Anmeldung!$E$44&amp;" / "&amp;Anmeldung!$G$44&amp;" / "&amp;Anmeldung!$J$44)&lt;&gt;Anmeldung!$P$30),Anmeldung!$B$44&amp;": "&amp;Anmeldung!$D$44&amp;", "&amp;Anmeldung!$E$44&amp;" / "&amp;Anmeldung!$G$44&amp;" / "&amp;Anmeldung!$J$44,"")</f>
        <v/>
      </c>
      <c r="CU31" t="str">
        <f>IF(AND(37&lt;&gt;23,Anmeldung!$D$44&lt;&gt;"",Anmeldung!$G$44=Anmeldung!$G$30,Anmeldung!$J$44=Anmeldung!$J$30,(Anmeldung!$B$44&amp;": "&amp;Anmeldung!$D$44&amp;", "&amp;Anmeldung!$E$44&amp;" / "&amp;Anmeldung!$G$44&amp;" / "&amp;Anmeldung!$J$44)&lt;&gt;Anmeldung!$O$30),Anmeldung!$B$44&amp;": "&amp;Anmeldung!$D$44&amp;", "&amp;Anmeldung!$E$44&amp;" / "&amp;Anmeldung!$G$44&amp;" / "&amp;Anmeldung!$J$44,"")</f>
        <v/>
      </c>
      <c r="CV31" t="str">
        <f>IF(AND(37&lt;&gt;23,Anmeldung!$D$44&lt;&gt;"",Anmeldung!$G$44&lt;&gt;Anmeldung!$G$30,(Anmeldung!$B$44&amp;": "&amp;Anmeldung!$D$44&amp;", "&amp;Anmeldung!$E$44&amp;" / "&amp;Anmeldung!$G$44&amp;" / "&amp;Anmeldung!$J$44)&lt;&gt;Anmeldung!$S$30),Anmeldung!$B$44&amp;": "&amp;Anmeldung!$D$44&amp;", "&amp;Anmeldung!$E$44&amp;" / "&amp;Anmeldung!$G$44&amp;" / "&amp;Anmeldung!$J$44,"")</f>
        <v/>
      </c>
      <c r="CW31" t="str">
        <f>IF(AND(37&lt;&gt;23,Anmeldung!$D$44&lt;&gt;"",(Anmeldung!$B$44&amp;": "&amp;Anmeldung!$D$44&amp;", "&amp;Anmeldung!$E$44&amp;" / "&amp;Anmeldung!$G$44&amp;" / "&amp;Anmeldung!$J$44)&lt;&gt;Anmeldung!$R$30),Anmeldung!$B$44&amp;": "&amp;Anmeldung!$D$44&amp;", "&amp;Anmeldung!$E$44&amp;" / "&amp;Anmeldung!$G$44&amp;" / "&amp;Anmeldung!$J$44,"")</f>
        <v/>
      </c>
      <c r="CX31" t="str">
        <f>IF(AND(36&lt;&gt;22,Anmeldung!$D$44&lt;&gt;"",Anmeldung!$U$44="Ja",Anmeldung!$G$44=Anmeldung!$G$30,Anmeldung!$J$44=Anmeldung!$J$30),Anmeldung!$B$44&amp;": "&amp;Anmeldung!$D$44&amp;", "&amp;Anmeldung!$E$44&amp;" / "&amp;Anmeldung!$G$44&amp;" / "&amp;Anmeldung!$J$44,"")</f>
        <v/>
      </c>
      <c r="DA31" t="str">
        <f>IF(AND(37&lt;&gt;24,Anmeldung!$D$44&lt;&gt;"",Anmeldung!$G$44=Anmeldung!$G$31,Anmeldung!$J$44=Anmeldung!$J$31),Anmeldung!$B$44&amp;": "&amp;Anmeldung!$D$44&amp;", "&amp;Anmeldung!$E$44&amp;" / "&amp;Anmeldung!$G$44&amp;" / "&amp;Anmeldung!$J$44,"")</f>
        <v/>
      </c>
      <c r="DB31" t="str">
        <f>IF(AND(37&lt;&gt;24,Anmeldung!$D$44&lt;&gt;"",Anmeldung!$G$44=Anmeldung!$G$31,Anmeldung!$J$44=Anmeldung!$J$31,(Anmeldung!$B$44&amp;": "&amp;Anmeldung!$D$44&amp;", "&amp;Anmeldung!$E$44&amp;" / "&amp;Anmeldung!$G$44&amp;" / "&amp;Anmeldung!$J$44)&lt;&gt;Anmeldung!$P$31),Anmeldung!$B$44&amp;": "&amp;Anmeldung!$D$44&amp;", "&amp;Anmeldung!$E$44&amp;" / "&amp;Anmeldung!$G$44&amp;" / "&amp;Anmeldung!$J$44,"")</f>
        <v/>
      </c>
      <c r="DC31" t="str">
        <f>IF(AND(37&lt;&gt;24,Anmeldung!$D$44&lt;&gt;"",Anmeldung!$G$44=Anmeldung!$G$31,Anmeldung!$J$44=Anmeldung!$J$31,(Anmeldung!$B$44&amp;": "&amp;Anmeldung!$D$44&amp;", "&amp;Anmeldung!$E$44&amp;" / "&amp;Anmeldung!$G$44&amp;" / "&amp;Anmeldung!$J$44)&lt;&gt;Anmeldung!$O$31),Anmeldung!$B$44&amp;": "&amp;Anmeldung!$D$44&amp;", "&amp;Anmeldung!$E$44&amp;" / "&amp;Anmeldung!$G$44&amp;" / "&amp;Anmeldung!$J$44,"")</f>
        <v/>
      </c>
      <c r="DD31" t="str">
        <f>IF(AND(37&lt;&gt;24,Anmeldung!$D$44&lt;&gt;"",Anmeldung!$G$44&lt;&gt;Anmeldung!$G$31,(Anmeldung!$B$44&amp;": "&amp;Anmeldung!$D$44&amp;", "&amp;Anmeldung!$E$44&amp;" / "&amp;Anmeldung!$G$44&amp;" / "&amp;Anmeldung!$J$44)&lt;&gt;Anmeldung!$S$31),Anmeldung!$B$44&amp;": "&amp;Anmeldung!$D$44&amp;", "&amp;Anmeldung!$E$44&amp;" / "&amp;Anmeldung!$G$44&amp;" / "&amp;Anmeldung!$J$44,"")</f>
        <v/>
      </c>
      <c r="DE31" t="str">
        <f>IF(AND(37&lt;&gt;24,Anmeldung!$D$44&lt;&gt;"",(Anmeldung!$B$44&amp;": "&amp;Anmeldung!$D$44&amp;", "&amp;Anmeldung!$E$44&amp;" / "&amp;Anmeldung!$G$44&amp;" / "&amp;Anmeldung!$J$44)&lt;&gt;Anmeldung!$R$31),Anmeldung!$B$44&amp;": "&amp;Anmeldung!$D$44&amp;", "&amp;Anmeldung!$E$44&amp;" / "&amp;Anmeldung!$G$44&amp;" / "&amp;Anmeldung!$J$44,"")</f>
        <v/>
      </c>
      <c r="DF31" t="str">
        <f>IF(AND(36&lt;&gt;23,Anmeldung!$D$44&lt;&gt;"",Anmeldung!$U$44="Ja",Anmeldung!$G$44=Anmeldung!$G$31,Anmeldung!$J$44=Anmeldung!$J$31),Anmeldung!$B$44&amp;": "&amp;Anmeldung!$D$44&amp;", "&amp;Anmeldung!$E$44&amp;" / "&amp;Anmeldung!$G$44&amp;" / "&amp;Anmeldung!$J$44,"")</f>
        <v/>
      </c>
      <c r="DI31" t="str">
        <f>IF(AND(37&lt;&gt;25,Anmeldung!$D$44&lt;&gt;"",Anmeldung!$G$44=Anmeldung!$G$32,Anmeldung!$J$44=Anmeldung!$J$32),Anmeldung!$B$44&amp;": "&amp;Anmeldung!$D$44&amp;", "&amp;Anmeldung!$E$44&amp;" / "&amp;Anmeldung!$G$44&amp;" / "&amp;Anmeldung!$J$44,"")</f>
        <v/>
      </c>
      <c r="DJ31" t="str">
        <f>IF(AND(37&lt;&gt;25,Anmeldung!$D$44&lt;&gt;"",Anmeldung!$G$44=Anmeldung!$G$32,Anmeldung!$J$44=Anmeldung!$J$32,(Anmeldung!$B$44&amp;": "&amp;Anmeldung!$D$44&amp;", "&amp;Anmeldung!$E$44&amp;" / "&amp;Anmeldung!$G$44&amp;" / "&amp;Anmeldung!$J$44)&lt;&gt;Anmeldung!$P$32),Anmeldung!$B$44&amp;": "&amp;Anmeldung!$D$44&amp;", "&amp;Anmeldung!$E$44&amp;" / "&amp;Anmeldung!$G$44&amp;" / "&amp;Anmeldung!$J$44,"")</f>
        <v/>
      </c>
      <c r="DK31" t="str">
        <f>IF(AND(37&lt;&gt;25,Anmeldung!$D$44&lt;&gt;"",Anmeldung!$G$44=Anmeldung!$G$32,Anmeldung!$J$44=Anmeldung!$J$32,(Anmeldung!$B$44&amp;": "&amp;Anmeldung!$D$44&amp;", "&amp;Anmeldung!$E$44&amp;" / "&amp;Anmeldung!$G$44&amp;" / "&amp;Anmeldung!$J$44)&lt;&gt;Anmeldung!$O$32),Anmeldung!$B$44&amp;": "&amp;Anmeldung!$D$44&amp;", "&amp;Anmeldung!$E$44&amp;" / "&amp;Anmeldung!$G$44&amp;" / "&amp;Anmeldung!$J$44,"")</f>
        <v/>
      </c>
      <c r="DL31" t="str">
        <f>IF(AND(37&lt;&gt;25,Anmeldung!$D$44&lt;&gt;"",Anmeldung!$G$44&lt;&gt;Anmeldung!$G$32,(Anmeldung!$B$44&amp;": "&amp;Anmeldung!$D$44&amp;", "&amp;Anmeldung!$E$44&amp;" / "&amp;Anmeldung!$G$44&amp;" / "&amp;Anmeldung!$J$44)&lt;&gt;Anmeldung!$S$32),Anmeldung!$B$44&amp;": "&amp;Anmeldung!$D$44&amp;", "&amp;Anmeldung!$E$44&amp;" / "&amp;Anmeldung!$G$44&amp;" / "&amp;Anmeldung!$J$44,"")</f>
        <v/>
      </c>
      <c r="DM31" t="str">
        <f>IF(AND(37&lt;&gt;25,Anmeldung!$D$44&lt;&gt;"",(Anmeldung!$B$44&amp;": "&amp;Anmeldung!$D$44&amp;", "&amp;Anmeldung!$E$44&amp;" / "&amp;Anmeldung!$G$44&amp;" / "&amp;Anmeldung!$J$44)&lt;&gt;Anmeldung!$R$32),Anmeldung!$B$44&amp;": "&amp;Anmeldung!$D$44&amp;", "&amp;Anmeldung!$E$44&amp;" / "&amp;Anmeldung!$G$44&amp;" / "&amp;Anmeldung!$J$44,"")</f>
        <v/>
      </c>
      <c r="DN31" t="str">
        <f>IF(AND(36&lt;&gt;24,Anmeldung!$D$44&lt;&gt;"",Anmeldung!$U$44="Ja",Anmeldung!$G$44=Anmeldung!$G$32,Anmeldung!$J$44=Anmeldung!$J$32),Anmeldung!$B$44&amp;": "&amp;Anmeldung!$D$44&amp;", "&amp;Anmeldung!$E$44&amp;" / "&amp;Anmeldung!$G$44&amp;" / "&amp;Anmeldung!$J$44,"")</f>
        <v/>
      </c>
      <c r="DQ31" t="str">
        <f>IF(AND(37&lt;&gt;26,Anmeldung!$D$44&lt;&gt;"",Anmeldung!$G$44=Anmeldung!$G$33,Anmeldung!$J$44=Anmeldung!$J$33),Anmeldung!$B$44&amp;": "&amp;Anmeldung!$D$44&amp;", "&amp;Anmeldung!$E$44&amp;" / "&amp;Anmeldung!$G$44&amp;" / "&amp;Anmeldung!$J$44,"")</f>
        <v/>
      </c>
      <c r="DR31" t="str">
        <f>IF(AND(37&lt;&gt;26,Anmeldung!$D$44&lt;&gt;"",Anmeldung!$G$44=Anmeldung!$G$33,Anmeldung!$J$44=Anmeldung!$J$33,(Anmeldung!$B$44&amp;": "&amp;Anmeldung!$D$44&amp;", "&amp;Anmeldung!$E$44&amp;" / "&amp;Anmeldung!$G$44&amp;" / "&amp;Anmeldung!$J$44)&lt;&gt;Anmeldung!$P$33),Anmeldung!$B$44&amp;": "&amp;Anmeldung!$D$44&amp;", "&amp;Anmeldung!$E$44&amp;" / "&amp;Anmeldung!$G$44&amp;" / "&amp;Anmeldung!$J$44,"")</f>
        <v/>
      </c>
      <c r="DS31" t="str">
        <f>IF(AND(37&lt;&gt;26,Anmeldung!$D$44&lt;&gt;"",Anmeldung!$G$44=Anmeldung!$G$33,Anmeldung!$J$44=Anmeldung!$J$33,(Anmeldung!$B$44&amp;": "&amp;Anmeldung!$D$44&amp;", "&amp;Anmeldung!$E$44&amp;" / "&amp;Anmeldung!$G$44&amp;" / "&amp;Anmeldung!$J$44)&lt;&gt;Anmeldung!$O$33),Anmeldung!$B$44&amp;": "&amp;Anmeldung!$D$44&amp;", "&amp;Anmeldung!$E$44&amp;" / "&amp;Anmeldung!$G$44&amp;" / "&amp;Anmeldung!$J$44,"")</f>
        <v/>
      </c>
      <c r="DT31" t="str">
        <f>IF(AND(37&lt;&gt;26,Anmeldung!$D$44&lt;&gt;"",Anmeldung!$G$44&lt;&gt;Anmeldung!$G$33,(Anmeldung!$B$44&amp;": "&amp;Anmeldung!$D$44&amp;", "&amp;Anmeldung!$E$44&amp;" / "&amp;Anmeldung!$G$44&amp;" / "&amp;Anmeldung!$J$44)&lt;&gt;Anmeldung!$S$33),Anmeldung!$B$44&amp;": "&amp;Anmeldung!$D$44&amp;", "&amp;Anmeldung!$E$44&amp;" / "&amp;Anmeldung!$G$44&amp;" / "&amp;Anmeldung!$J$44,"")</f>
        <v/>
      </c>
      <c r="DU31" t="str">
        <f>IF(AND(37&lt;&gt;26,Anmeldung!$D$44&lt;&gt;"",(Anmeldung!$B$44&amp;": "&amp;Anmeldung!$D$44&amp;", "&amp;Anmeldung!$E$44&amp;" / "&amp;Anmeldung!$G$44&amp;" / "&amp;Anmeldung!$J$44)&lt;&gt;Anmeldung!$R$33),Anmeldung!$B$44&amp;": "&amp;Anmeldung!$D$44&amp;", "&amp;Anmeldung!$E$44&amp;" / "&amp;Anmeldung!$G$44&amp;" / "&amp;Anmeldung!$J$44,"")</f>
        <v/>
      </c>
      <c r="DV31" t="str">
        <f>IF(AND(36&lt;&gt;25,Anmeldung!$D$44&lt;&gt;"",Anmeldung!$U$44="Ja",Anmeldung!$G$44=Anmeldung!$G$33,Anmeldung!$J$44=Anmeldung!$J$33),Anmeldung!$B$44&amp;": "&amp;Anmeldung!$D$44&amp;", "&amp;Anmeldung!$E$44&amp;" / "&amp;Anmeldung!$G$44&amp;" / "&amp;Anmeldung!$J$44,"")</f>
        <v/>
      </c>
      <c r="DY31" t="str">
        <f>IF(AND(37&lt;&gt;27,Anmeldung!$D$44&lt;&gt;"",Anmeldung!$G$44=Anmeldung!$G$34,Anmeldung!$J$44=Anmeldung!$J$34),Anmeldung!$B$44&amp;": "&amp;Anmeldung!$D$44&amp;", "&amp;Anmeldung!$E$44&amp;" / "&amp;Anmeldung!$G$44&amp;" / "&amp;Anmeldung!$J$44,"")</f>
        <v/>
      </c>
      <c r="DZ31" t="str">
        <f>IF(AND(37&lt;&gt;27,Anmeldung!$D$44&lt;&gt;"",Anmeldung!$G$44=Anmeldung!$G$34,Anmeldung!$J$44=Anmeldung!$J$34,(Anmeldung!$B$44&amp;": "&amp;Anmeldung!$D$44&amp;", "&amp;Anmeldung!$E$44&amp;" / "&amp;Anmeldung!$G$44&amp;" / "&amp;Anmeldung!$J$44)&lt;&gt;Anmeldung!$P$34),Anmeldung!$B$44&amp;": "&amp;Anmeldung!$D$44&amp;", "&amp;Anmeldung!$E$44&amp;" / "&amp;Anmeldung!$G$44&amp;" / "&amp;Anmeldung!$J$44,"")</f>
        <v/>
      </c>
      <c r="EA31" t="str">
        <f>IF(AND(37&lt;&gt;27,Anmeldung!$D$44&lt;&gt;"",Anmeldung!$G$44=Anmeldung!$G$34,Anmeldung!$J$44=Anmeldung!$J$34,(Anmeldung!$B$44&amp;": "&amp;Anmeldung!$D$44&amp;", "&amp;Anmeldung!$E$44&amp;" / "&amp;Anmeldung!$G$44&amp;" / "&amp;Anmeldung!$J$44)&lt;&gt;Anmeldung!$O$34),Anmeldung!$B$44&amp;": "&amp;Anmeldung!$D$44&amp;", "&amp;Anmeldung!$E$44&amp;" / "&amp;Anmeldung!$G$44&amp;" / "&amp;Anmeldung!$J$44,"")</f>
        <v/>
      </c>
      <c r="EB31" t="str">
        <f>IF(AND(37&lt;&gt;27,Anmeldung!$D$44&lt;&gt;"",Anmeldung!$G$44&lt;&gt;Anmeldung!$G$34,(Anmeldung!$B$44&amp;": "&amp;Anmeldung!$D$44&amp;", "&amp;Anmeldung!$E$44&amp;" / "&amp;Anmeldung!$G$44&amp;" / "&amp;Anmeldung!$J$44)&lt;&gt;Anmeldung!$S$34),Anmeldung!$B$44&amp;": "&amp;Anmeldung!$D$44&amp;", "&amp;Anmeldung!$E$44&amp;" / "&amp;Anmeldung!$G$44&amp;" / "&amp;Anmeldung!$J$44,"")</f>
        <v/>
      </c>
      <c r="EC31" t="str">
        <f>IF(AND(37&lt;&gt;27,Anmeldung!$D$44&lt;&gt;"",(Anmeldung!$B$44&amp;": "&amp;Anmeldung!$D$44&amp;", "&amp;Anmeldung!$E$44&amp;" / "&amp;Anmeldung!$G$44&amp;" / "&amp;Anmeldung!$J$44)&lt;&gt;Anmeldung!$R$34),Anmeldung!$B$44&amp;": "&amp;Anmeldung!$D$44&amp;", "&amp;Anmeldung!$E$44&amp;" / "&amp;Anmeldung!$G$44&amp;" / "&amp;Anmeldung!$J$44,"")</f>
        <v/>
      </c>
      <c r="ED31" t="str">
        <f>IF(AND(36&lt;&gt;26,Anmeldung!$D$44&lt;&gt;"",Anmeldung!$U$44="Ja",Anmeldung!$G$44=Anmeldung!$G$34,Anmeldung!$J$44=Anmeldung!$J$34),Anmeldung!$B$44&amp;": "&amp;Anmeldung!$D$44&amp;", "&amp;Anmeldung!$E$44&amp;" / "&amp;Anmeldung!$G$44&amp;" / "&amp;Anmeldung!$J$44,"")</f>
        <v/>
      </c>
      <c r="EG31" t="str">
        <f>IF(AND(37&lt;&gt;28,Anmeldung!$D$44&lt;&gt;"",Anmeldung!$G$44=Anmeldung!$G$35,Anmeldung!$J$44=Anmeldung!$J$35),Anmeldung!$B$44&amp;": "&amp;Anmeldung!$D$44&amp;", "&amp;Anmeldung!$E$44&amp;" / "&amp;Anmeldung!$G$44&amp;" / "&amp;Anmeldung!$J$44,"")</f>
        <v/>
      </c>
      <c r="EH31" t="str">
        <f>IF(AND(37&lt;&gt;28,Anmeldung!$D$44&lt;&gt;"",Anmeldung!$G$44=Anmeldung!$G$35,Anmeldung!$J$44=Anmeldung!$J$35,(Anmeldung!$B$44&amp;": "&amp;Anmeldung!$D$44&amp;", "&amp;Anmeldung!$E$44&amp;" / "&amp;Anmeldung!$G$44&amp;" / "&amp;Anmeldung!$J$44)&lt;&gt;Anmeldung!$P$35),Anmeldung!$B$44&amp;": "&amp;Anmeldung!$D$44&amp;", "&amp;Anmeldung!$E$44&amp;" / "&amp;Anmeldung!$G$44&amp;" / "&amp;Anmeldung!$J$44,"")</f>
        <v/>
      </c>
      <c r="EI31" t="str">
        <f>IF(AND(37&lt;&gt;28,Anmeldung!$D$44&lt;&gt;"",Anmeldung!$G$44=Anmeldung!$G$35,Anmeldung!$J$44=Anmeldung!$J$35,(Anmeldung!$B$44&amp;": "&amp;Anmeldung!$D$44&amp;", "&amp;Anmeldung!$E$44&amp;" / "&amp;Anmeldung!$G$44&amp;" / "&amp;Anmeldung!$J$44)&lt;&gt;Anmeldung!$O$35),Anmeldung!$B$44&amp;": "&amp;Anmeldung!$D$44&amp;", "&amp;Anmeldung!$E$44&amp;" / "&amp;Anmeldung!$G$44&amp;" / "&amp;Anmeldung!$J$44,"")</f>
        <v/>
      </c>
      <c r="EJ31" t="str">
        <f>IF(AND(37&lt;&gt;28,Anmeldung!$D$44&lt;&gt;"",Anmeldung!$G$44&lt;&gt;Anmeldung!$G$35,(Anmeldung!$B$44&amp;": "&amp;Anmeldung!$D$44&amp;", "&amp;Anmeldung!$E$44&amp;" / "&amp;Anmeldung!$G$44&amp;" / "&amp;Anmeldung!$J$44)&lt;&gt;Anmeldung!$S$35),Anmeldung!$B$44&amp;": "&amp;Anmeldung!$D$44&amp;", "&amp;Anmeldung!$E$44&amp;" / "&amp;Anmeldung!$G$44&amp;" / "&amp;Anmeldung!$J$44,"")</f>
        <v/>
      </c>
      <c r="EK31" t="str">
        <f>IF(AND(37&lt;&gt;28,Anmeldung!$D$44&lt;&gt;"",(Anmeldung!$B$44&amp;": "&amp;Anmeldung!$D$44&amp;", "&amp;Anmeldung!$E$44&amp;" / "&amp;Anmeldung!$G$44&amp;" / "&amp;Anmeldung!$J$44)&lt;&gt;Anmeldung!$R$35),Anmeldung!$B$44&amp;": "&amp;Anmeldung!$D$44&amp;", "&amp;Anmeldung!$E$44&amp;" / "&amp;Anmeldung!$G$44&amp;" / "&amp;Anmeldung!$J$44,"")</f>
        <v/>
      </c>
      <c r="EL31" t="str">
        <f>IF(AND(36&lt;&gt;27,Anmeldung!$D$44&lt;&gt;"",Anmeldung!$U$44="Ja",Anmeldung!$G$44=Anmeldung!$G$35,Anmeldung!$J$44=Anmeldung!$J$35),Anmeldung!$B$44&amp;": "&amp;Anmeldung!$D$44&amp;", "&amp;Anmeldung!$E$44&amp;" / "&amp;Anmeldung!$G$44&amp;" / "&amp;Anmeldung!$J$44,"")</f>
        <v/>
      </c>
      <c r="EO31" t="str">
        <f>IF(AND(37&lt;&gt;29,Anmeldung!$D$44&lt;&gt;"",Anmeldung!$G$44=Anmeldung!$G$36,Anmeldung!$J$44=Anmeldung!$J$36),Anmeldung!$B$44&amp;": "&amp;Anmeldung!$D$44&amp;", "&amp;Anmeldung!$E$44&amp;" / "&amp;Anmeldung!$G$44&amp;" / "&amp;Anmeldung!$J$44,"")</f>
        <v/>
      </c>
      <c r="EP31" t="str">
        <f>IF(AND(37&lt;&gt;29,Anmeldung!$D$44&lt;&gt;"",Anmeldung!$G$44=Anmeldung!$G$36,Anmeldung!$J$44=Anmeldung!$J$36,(Anmeldung!$B$44&amp;": "&amp;Anmeldung!$D$44&amp;", "&amp;Anmeldung!$E$44&amp;" / "&amp;Anmeldung!$G$44&amp;" / "&amp;Anmeldung!$J$44)&lt;&gt;Anmeldung!$P$36),Anmeldung!$B$44&amp;": "&amp;Anmeldung!$D$44&amp;", "&amp;Anmeldung!$E$44&amp;" / "&amp;Anmeldung!$G$44&amp;" / "&amp;Anmeldung!$J$44,"")</f>
        <v/>
      </c>
      <c r="EQ31" t="str">
        <f>IF(AND(37&lt;&gt;29,Anmeldung!$D$44&lt;&gt;"",Anmeldung!$G$44=Anmeldung!$G$36,Anmeldung!$J$44=Anmeldung!$J$36,(Anmeldung!$B$44&amp;": "&amp;Anmeldung!$D$44&amp;", "&amp;Anmeldung!$E$44&amp;" / "&amp;Anmeldung!$G$44&amp;" / "&amp;Anmeldung!$J$44)&lt;&gt;Anmeldung!$O$36),Anmeldung!$B$44&amp;": "&amp;Anmeldung!$D$44&amp;", "&amp;Anmeldung!$E$44&amp;" / "&amp;Anmeldung!$G$44&amp;" / "&amp;Anmeldung!$J$44,"")</f>
        <v/>
      </c>
      <c r="ER31" t="str">
        <f>IF(AND(37&lt;&gt;29,Anmeldung!$D$44&lt;&gt;"",Anmeldung!$G$44&lt;&gt;Anmeldung!$G$36,(Anmeldung!$B$44&amp;": "&amp;Anmeldung!$D$44&amp;", "&amp;Anmeldung!$E$44&amp;" / "&amp;Anmeldung!$G$44&amp;" / "&amp;Anmeldung!$J$44)&lt;&gt;Anmeldung!$S$36),Anmeldung!$B$44&amp;": "&amp;Anmeldung!$D$44&amp;", "&amp;Anmeldung!$E$44&amp;" / "&amp;Anmeldung!$G$44&amp;" / "&amp;Anmeldung!$J$44,"")</f>
        <v/>
      </c>
      <c r="ES31" t="str">
        <f>IF(AND(37&lt;&gt;29,Anmeldung!$D$44&lt;&gt;"",(Anmeldung!$B$44&amp;": "&amp;Anmeldung!$D$44&amp;", "&amp;Anmeldung!$E$44&amp;" / "&amp;Anmeldung!$G$44&amp;" / "&amp;Anmeldung!$J$44)&lt;&gt;Anmeldung!$R$36),Anmeldung!$B$44&amp;": "&amp;Anmeldung!$D$44&amp;", "&amp;Anmeldung!$E$44&amp;" / "&amp;Anmeldung!$G$44&amp;" / "&amp;Anmeldung!$J$44,"")</f>
        <v/>
      </c>
      <c r="ET31" t="str">
        <f>IF(AND(36&lt;&gt;28,Anmeldung!$D$44&lt;&gt;"",Anmeldung!$U$44="Ja",Anmeldung!$G$44=Anmeldung!$G$36,Anmeldung!$J$44=Anmeldung!$J$36),Anmeldung!$B$44&amp;": "&amp;Anmeldung!$D$44&amp;", "&amp;Anmeldung!$E$44&amp;" / "&amp;Anmeldung!$G$44&amp;" / "&amp;Anmeldung!$J$44,"")</f>
        <v/>
      </c>
      <c r="EW31" t="str">
        <f>IF(AND(37&lt;&gt;30,Anmeldung!$D$44&lt;&gt;"",Anmeldung!$G$44=Anmeldung!$G$37,Anmeldung!$J$44=Anmeldung!$J$37),Anmeldung!$B$44&amp;": "&amp;Anmeldung!$D$44&amp;", "&amp;Anmeldung!$E$44&amp;" / "&amp;Anmeldung!$G$44&amp;" / "&amp;Anmeldung!$J$44,"")</f>
        <v/>
      </c>
      <c r="EX31" t="str">
        <f>IF(AND(37&lt;&gt;30,Anmeldung!$D$44&lt;&gt;"",Anmeldung!$G$44=Anmeldung!$G$37,Anmeldung!$J$44=Anmeldung!$J$37,(Anmeldung!$B$44&amp;": "&amp;Anmeldung!$D$44&amp;", "&amp;Anmeldung!$E$44&amp;" / "&amp;Anmeldung!$G$44&amp;" / "&amp;Anmeldung!$J$44)&lt;&gt;Anmeldung!$P$37),Anmeldung!$B$44&amp;": "&amp;Anmeldung!$D$44&amp;", "&amp;Anmeldung!$E$44&amp;" / "&amp;Anmeldung!$G$44&amp;" / "&amp;Anmeldung!$J$44,"")</f>
        <v/>
      </c>
      <c r="EY31" t="str">
        <f>IF(AND(37&lt;&gt;30,Anmeldung!$D$44&lt;&gt;"",Anmeldung!$G$44=Anmeldung!$G$37,Anmeldung!$J$44=Anmeldung!$J$37,(Anmeldung!$B$44&amp;": "&amp;Anmeldung!$D$44&amp;", "&amp;Anmeldung!$E$44&amp;" / "&amp;Anmeldung!$G$44&amp;" / "&amp;Anmeldung!$J$44)&lt;&gt;Anmeldung!$O$37),Anmeldung!$B$44&amp;": "&amp;Anmeldung!$D$44&amp;", "&amp;Anmeldung!$E$44&amp;" / "&amp;Anmeldung!$G$44&amp;" / "&amp;Anmeldung!$J$44,"")</f>
        <v/>
      </c>
      <c r="EZ31" t="str">
        <f>IF(AND(37&lt;&gt;30,Anmeldung!$D$44&lt;&gt;"",Anmeldung!$G$44&lt;&gt;Anmeldung!$G$37,(Anmeldung!$B$44&amp;": "&amp;Anmeldung!$D$44&amp;", "&amp;Anmeldung!$E$44&amp;" / "&amp;Anmeldung!$G$44&amp;" / "&amp;Anmeldung!$J$44)&lt;&gt;Anmeldung!$S$37),Anmeldung!$B$44&amp;": "&amp;Anmeldung!$D$44&amp;", "&amp;Anmeldung!$E$44&amp;" / "&amp;Anmeldung!$G$44&amp;" / "&amp;Anmeldung!$J$44,"")</f>
        <v/>
      </c>
      <c r="FA31" t="str">
        <f>IF(AND(37&lt;&gt;30,Anmeldung!$D$44&lt;&gt;"",(Anmeldung!$B$44&amp;": "&amp;Anmeldung!$D$44&amp;", "&amp;Anmeldung!$E$44&amp;" / "&amp;Anmeldung!$G$44&amp;" / "&amp;Anmeldung!$J$44)&lt;&gt;Anmeldung!$R$37),Anmeldung!$B$44&amp;": "&amp;Anmeldung!$D$44&amp;", "&amp;Anmeldung!$E$44&amp;" / "&amp;Anmeldung!$G$44&amp;" / "&amp;Anmeldung!$J$44,"")</f>
        <v/>
      </c>
      <c r="FB31" t="str">
        <f>IF(AND(36&lt;&gt;29,Anmeldung!$D$44&lt;&gt;"",Anmeldung!$U$44="Ja",Anmeldung!$G$44=Anmeldung!$G$37,Anmeldung!$J$44=Anmeldung!$J$37),Anmeldung!$B$44&amp;": "&amp;Anmeldung!$D$44&amp;", "&amp;Anmeldung!$E$44&amp;" / "&amp;Anmeldung!$G$44&amp;" / "&amp;Anmeldung!$J$44,"")</f>
        <v/>
      </c>
      <c r="FE31" t="str">
        <f>IF(AND(37&lt;&gt;31,Anmeldung!$D$44&lt;&gt;"",Anmeldung!$G$44=Anmeldung!$G$38,Anmeldung!$J$44=Anmeldung!$J$38),Anmeldung!$B$44&amp;": "&amp;Anmeldung!$D$44&amp;", "&amp;Anmeldung!$E$44&amp;" / "&amp;Anmeldung!$G$44&amp;" / "&amp;Anmeldung!$J$44,"")</f>
        <v/>
      </c>
      <c r="FF31" t="str">
        <f>IF(AND(37&lt;&gt;31,Anmeldung!$D$44&lt;&gt;"",Anmeldung!$G$44=Anmeldung!$G$38,Anmeldung!$J$44=Anmeldung!$J$38,(Anmeldung!$B$44&amp;": "&amp;Anmeldung!$D$44&amp;", "&amp;Anmeldung!$E$44&amp;" / "&amp;Anmeldung!$G$44&amp;" / "&amp;Anmeldung!$J$44)&lt;&gt;Anmeldung!$P$38),Anmeldung!$B$44&amp;": "&amp;Anmeldung!$D$44&amp;", "&amp;Anmeldung!$E$44&amp;" / "&amp;Anmeldung!$G$44&amp;" / "&amp;Anmeldung!$J$44,"")</f>
        <v/>
      </c>
      <c r="FG31" t="str">
        <f>IF(AND(37&lt;&gt;31,Anmeldung!$D$44&lt;&gt;"",Anmeldung!$G$44=Anmeldung!$G$38,Anmeldung!$J$44=Anmeldung!$J$38,(Anmeldung!$B$44&amp;": "&amp;Anmeldung!$D$44&amp;", "&amp;Anmeldung!$E$44&amp;" / "&amp;Anmeldung!$G$44&amp;" / "&amp;Anmeldung!$J$44)&lt;&gt;Anmeldung!$O$38),Anmeldung!$B$44&amp;": "&amp;Anmeldung!$D$44&amp;", "&amp;Anmeldung!$E$44&amp;" / "&amp;Anmeldung!$G$44&amp;" / "&amp;Anmeldung!$J$44,"")</f>
        <v/>
      </c>
      <c r="FH31" t="str">
        <f>IF(AND(37&lt;&gt;31,Anmeldung!$D$44&lt;&gt;"",Anmeldung!$G$44&lt;&gt;Anmeldung!$G$38,(Anmeldung!$B$44&amp;": "&amp;Anmeldung!$D$44&amp;", "&amp;Anmeldung!$E$44&amp;" / "&amp;Anmeldung!$G$44&amp;" / "&amp;Anmeldung!$J$44)&lt;&gt;Anmeldung!$S$38),Anmeldung!$B$44&amp;": "&amp;Anmeldung!$D$44&amp;", "&amp;Anmeldung!$E$44&amp;" / "&amp;Anmeldung!$G$44&amp;" / "&amp;Anmeldung!$J$44,"")</f>
        <v/>
      </c>
      <c r="FI31" t="str">
        <f>IF(AND(37&lt;&gt;31,Anmeldung!$D$44&lt;&gt;"",(Anmeldung!$B$44&amp;": "&amp;Anmeldung!$D$44&amp;", "&amp;Anmeldung!$E$44&amp;" / "&amp;Anmeldung!$G$44&amp;" / "&amp;Anmeldung!$J$44)&lt;&gt;Anmeldung!$R$38),Anmeldung!$B$44&amp;": "&amp;Anmeldung!$D$44&amp;", "&amp;Anmeldung!$E$44&amp;" / "&amp;Anmeldung!$G$44&amp;" / "&amp;Anmeldung!$J$44,"")</f>
        <v/>
      </c>
      <c r="FJ31" t="str">
        <f>IF(AND(36&lt;&gt;30,Anmeldung!$D$44&lt;&gt;"",Anmeldung!$U$44="Ja",Anmeldung!$G$44=Anmeldung!$G$38,Anmeldung!$J$44=Anmeldung!$J$38),Anmeldung!$B$44&amp;": "&amp;Anmeldung!$D$44&amp;", "&amp;Anmeldung!$E$44&amp;" / "&amp;Anmeldung!$G$44&amp;" / "&amp;Anmeldung!$J$44,"")</f>
        <v/>
      </c>
      <c r="FM31" t="str">
        <f>IF(AND(37&lt;&gt;32,Anmeldung!$D$44&lt;&gt;"",Anmeldung!$G$44=Anmeldung!$G$39,Anmeldung!$J$44=Anmeldung!$J$39),Anmeldung!$B$44&amp;": "&amp;Anmeldung!$D$44&amp;", "&amp;Anmeldung!$E$44&amp;" / "&amp;Anmeldung!$G$44&amp;" / "&amp;Anmeldung!$J$44,"")</f>
        <v/>
      </c>
      <c r="FN31" t="str">
        <f>IF(AND(37&lt;&gt;32,Anmeldung!$D$44&lt;&gt;"",Anmeldung!$G$44=Anmeldung!$G$39,Anmeldung!$J$44=Anmeldung!$J$39,(Anmeldung!$B$44&amp;": "&amp;Anmeldung!$D$44&amp;", "&amp;Anmeldung!$E$44&amp;" / "&amp;Anmeldung!$G$44&amp;" / "&amp;Anmeldung!$J$44)&lt;&gt;Anmeldung!$P$39),Anmeldung!$B$44&amp;": "&amp;Anmeldung!$D$44&amp;", "&amp;Anmeldung!$E$44&amp;" / "&amp;Anmeldung!$G$44&amp;" / "&amp;Anmeldung!$J$44,"")</f>
        <v/>
      </c>
      <c r="FO31" t="str">
        <f>IF(AND(37&lt;&gt;32,Anmeldung!$D$44&lt;&gt;"",Anmeldung!$G$44=Anmeldung!$G$39,Anmeldung!$J$44=Anmeldung!$J$39,(Anmeldung!$B$44&amp;": "&amp;Anmeldung!$D$44&amp;", "&amp;Anmeldung!$E$44&amp;" / "&amp;Anmeldung!$G$44&amp;" / "&amp;Anmeldung!$J$44)&lt;&gt;Anmeldung!$O$39),Anmeldung!$B$44&amp;": "&amp;Anmeldung!$D$44&amp;", "&amp;Anmeldung!$E$44&amp;" / "&amp;Anmeldung!$G$44&amp;" / "&amp;Anmeldung!$J$44,"")</f>
        <v/>
      </c>
      <c r="FP31" t="str">
        <f>IF(AND(37&lt;&gt;32,Anmeldung!$D$44&lt;&gt;"",Anmeldung!$G$44&lt;&gt;Anmeldung!$G$39,(Anmeldung!$B$44&amp;": "&amp;Anmeldung!$D$44&amp;", "&amp;Anmeldung!$E$44&amp;" / "&amp;Anmeldung!$G$44&amp;" / "&amp;Anmeldung!$J$44)&lt;&gt;Anmeldung!$S$39),Anmeldung!$B$44&amp;": "&amp;Anmeldung!$D$44&amp;", "&amp;Anmeldung!$E$44&amp;" / "&amp;Anmeldung!$G$44&amp;" / "&amp;Anmeldung!$J$44,"")</f>
        <v/>
      </c>
      <c r="FQ31" t="str">
        <f>IF(AND(37&lt;&gt;32,Anmeldung!$D$44&lt;&gt;"",(Anmeldung!$B$44&amp;": "&amp;Anmeldung!$D$44&amp;", "&amp;Anmeldung!$E$44&amp;" / "&amp;Anmeldung!$G$44&amp;" / "&amp;Anmeldung!$J$44)&lt;&gt;Anmeldung!$R$39),Anmeldung!$B$44&amp;": "&amp;Anmeldung!$D$44&amp;", "&amp;Anmeldung!$E$44&amp;" / "&amp;Anmeldung!$G$44&amp;" / "&amp;Anmeldung!$J$44,"")</f>
        <v/>
      </c>
      <c r="FR31" t="str">
        <f>IF(AND(36&lt;&gt;31,Anmeldung!$D$44&lt;&gt;"",Anmeldung!$U$44="Ja",Anmeldung!$G$44=Anmeldung!$G$39,Anmeldung!$J$44=Anmeldung!$J$39),Anmeldung!$B$44&amp;": "&amp;Anmeldung!$D$44&amp;", "&amp;Anmeldung!$E$44&amp;" / "&amp;Anmeldung!$G$44&amp;" / "&amp;Anmeldung!$J$44,"")</f>
        <v/>
      </c>
      <c r="FU31" t="str">
        <f>IF(AND(37&lt;&gt;33,Anmeldung!$D$44&lt;&gt;"",Anmeldung!$G$44=Anmeldung!$G$40,Anmeldung!$J$44=Anmeldung!$J$40),Anmeldung!$B$44&amp;": "&amp;Anmeldung!$D$44&amp;", "&amp;Anmeldung!$E$44&amp;" / "&amp;Anmeldung!$G$44&amp;" / "&amp;Anmeldung!$J$44,"")</f>
        <v/>
      </c>
      <c r="FV31" t="str">
        <f>IF(AND(37&lt;&gt;33,Anmeldung!$D$44&lt;&gt;"",Anmeldung!$G$44=Anmeldung!$G$40,Anmeldung!$J$44=Anmeldung!$J$40,(Anmeldung!$B$44&amp;": "&amp;Anmeldung!$D$44&amp;", "&amp;Anmeldung!$E$44&amp;" / "&amp;Anmeldung!$G$44&amp;" / "&amp;Anmeldung!$J$44)&lt;&gt;Anmeldung!$P$40),Anmeldung!$B$44&amp;": "&amp;Anmeldung!$D$44&amp;", "&amp;Anmeldung!$E$44&amp;" / "&amp;Anmeldung!$G$44&amp;" / "&amp;Anmeldung!$J$44,"")</f>
        <v/>
      </c>
      <c r="FW31" t="str">
        <f>IF(AND(37&lt;&gt;33,Anmeldung!$D$44&lt;&gt;"",Anmeldung!$G$44=Anmeldung!$G$40,Anmeldung!$J$44=Anmeldung!$J$40,(Anmeldung!$B$44&amp;": "&amp;Anmeldung!$D$44&amp;", "&amp;Anmeldung!$E$44&amp;" / "&amp;Anmeldung!$G$44&amp;" / "&amp;Anmeldung!$J$44)&lt;&gt;Anmeldung!$O$40),Anmeldung!$B$44&amp;": "&amp;Anmeldung!$D$44&amp;", "&amp;Anmeldung!$E$44&amp;" / "&amp;Anmeldung!$G$44&amp;" / "&amp;Anmeldung!$J$44,"")</f>
        <v/>
      </c>
      <c r="FX31" t="str">
        <f>IF(AND(37&lt;&gt;33,Anmeldung!$D$44&lt;&gt;"",Anmeldung!$G$44&lt;&gt;Anmeldung!$G$40,(Anmeldung!$B$44&amp;": "&amp;Anmeldung!$D$44&amp;", "&amp;Anmeldung!$E$44&amp;" / "&amp;Anmeldung!$G$44&amp;" / "&amp;Anmeldung!$J$44)&lt;&gt;Anmeldung!$S$40),Anmeldung!$B$44&amp;": "&amp;Anmeldung!$D$44&amp;", "&amp;Anmeldung!$E$44&amp;" / "&amp;Anmeldung!$G$44&amp;" / "&amp;Anmeldung!$J$44,"")</f>
        <v/>
      </c>
      <c r="FY31" t="str">
        <f>IF(AND(37&lt;&gt;33,Anmeldung!$D$44&lt;&gt;"",(Anmeldung!$B$44&amp;": "&amp;Anmeldung!$D$44&amp;", "&amp;Anmeldung!$E$44&amp;" / "&amp;Anmeldung!$G$44&amp;" / "&amp;Anmeldung!$J$44)&lt;&gt;Anmeldung!$R$40),Anmeldung!$B$44&amp;": "&amp;Anmeldung!$D$44&amp;", "&amp;Anmeldung!$E$44&amp;" / "&amp;Anmeldung!$G$44&amp;" / "&amp;Anmeldung!$J$44,"")</f>
        <v/>
      </c>
      <c r="FZ31" t="str">
        <f>IF(AND(36&lt;&gt;32,Anmeldung!$D$44&lt;&gt;"",Anmeldung!$U$44="Ja",Anmeldung!$G$44=Anmeldung!$G$40,Anmeldung!$J$44=Anmeldung!$J$40),Anmeldung!$B$44&amp;": "&amp;Anmeldung!$D$44&amp;", "&amp;Anmeldung!$E$44&amp;" / "&amp;Anmeldung!$G$44&amp;" / "&amp;Anmeldung!$J$44,"")</f>
        <v/>
      </c>
      <c r="GC31" t="str">
        <f>IF(AND(37&lt;&gt;34,Anmeldung!$D$44&lt;&gt;"",Anmeldung!$G$44=Anmeldung!$G$41,Anmeldung!$J$44=Anmeldung!$J$41),Anmeldung!$B$44&amp;": "&amp;Anmeldung!$D$44&amp;", "&amp;Anmeldung!$E$44&amp;" / "&amp;Anmeldung!$G$44&amp;" / "&amp;Anmeldung!$J$44,"")</f>
        <v/>
      </c>
      <c r="GD31" t="str">
        <f>IF(AND(37&lt;&gt;34,Anmeldung!$D$44&lt;&gt;"",Anmeldung!$G$44=Anmeldung!$G$41,Anmeldung!$J$44=Anmeldung!$J$41,(Anmeldung!$B$44&amp;": "&amp;Anmeldung!$D$44&amp;", "&amp;Anmeldung!$E$44&amp;" / "&amp;Anmeldung!$G$44&amp;" / "&amp;Anmeldung!$J$44)&lt;&gt;Anmeldung!$P$41),Anmeldung!$B$44&amp;": "&amp;Anmeldung!$D$44&amp;", "&amp;Anmeldung!$E$44&amp;" / "&amp;Anmeldung!$G$44&amp;" / "&amp;Anmeldung!$J$44,"")</f>
        <v/>
      </c>
      <c r="GE31" t="str">
        <f>IF(AND(37&lt;&gt;34,Anmeldung!$D$44&lt;&gt;"",Anmeldung!$G$44=Anmeldung!$G$41,Anmeldung!$J$44=Anmeldung!$J$41,(Anmeldung!$B$44&amp;": "&amp;Anmeldung!$D$44&amp;", "&amp;Anmeldung!$E$44&amp;" / "&amp;Anmeldung!$G$44&amp;" / "&amp;Anmeldung!$J$44)&lt;&gt;Anmeldung!$O$41),Anmeldung!$B$44&amp;": "&amp;Anmeldung!$D$44&amp;", "&amp;Anmeldung!$E$44&amp;" / "&amp;Anmeldung!$G$44&amp;" / "&amp;Anmeldung!$J$44,"")</f>
        <v/>
      </c>
      <c r="GF31" t="str">
        <f>IF(AND(37&lt;&gt;34,Anmeldung!$D$44&lt;&gt;"",Anmeldung!$G$44&lt;&gt;Anmeldung!$G$41,(Anmeldung!$B$44&amp;": "&amp;Anmeldung!$D$44&amp;", "&amp;Anmeldung!$E$44&amp;" / "&amp;Anmeldung!$G$44&amp;" / "&amp;Anmeldung!$J$44)&lt;&gt;Anmeldung!$S$41),Anmeldung!$B$44&amp;": "&amp;Anmeldung!$D$44&amp;", "&amp;Anmeldung!$E$44&amp;" / "&amp;Anmeldung!$G$44&amp;" / "&amp;Anmeldung!$J$44,"")</f>
        <v/>
      </c>
      <c r="GG31" t="str">
        <f>IF(AND(37&lt;&gt;34,Anmeldung!$D$44&lt;&gt;"",(Anmeldung!$B$44&amp;": "&amp;Anmeldung!$D$44&amp;", "&amp;Anmeldung!$E$44&amp;" / "&amp;Anmeldung!$G$44&amp;" / "&amp;Anmeldung!$J$44)&lt;&gt;Anmeldung!$R$41),Anmeldung!$B$44&amp;": "&amp;Anmeldung!$D$44&amp;", "&amp;Anmeldung!$E$44&amp;" / "&amp;Anmeldung!$G$44&amp;" / "&amp;Anmeldung!$J$44,"")</f>
        <v/>
      </c>
      <c r="GH31" t="str">
        <f>IF(AND(36&lt;&gt;33,Anmeldung!$D$44&lt;&gt;"",Anmeldung!$U$44="Ja",Anmeldung!$G$44=Anmeldung!$G$41,Anmeldung!$J$44=Anmeldung!$J$41),Anmeldung!$B$44&amp;": "&amp;Anmeldung!$D$44&amp;", "&amp;Anmeldung!$E$44&amp;" / "&amp;Anmeldung!$G$44&amp;" / "&amp;Anmeldung!$J$44,"")</f>
        <v/>
      </c>
      <c r="GK31" t="str">
        <f>IF(AND(37&lt;&gt;35,Anmeldung!$D$44&lt;&gt;"",Anmeldung!$G$44=Anmeldung!$G$42,Anmeldung!$J$44=Anmeldung!$J$42),Anmeldung!$B$44&amp;": "&amp;Anmeldung!$D$44&amp;", "&amp;Anmeldung!$E$44&amp;" / "&amp;Anmeldung!$G$44&amp;" / "&amp;Anmeldung!$J$44,"")</f>
        <v/>
      </c>
      <c r="GL31" t="str">
        <f>IF(AND(37&lt;&gt;35,Anmeldung!$D$44&lt;&gt;"",Anmeldung!$G$44=Anmeldung!$G$42,Anmeldung!$J$44=Anmeldung!$J$42,(Anmeldung!$B$44&amp;": "&amp;Anmeldung!$D$44&amp;", "&amp;Anmeldung!$E$44&amp;" / "&amp;Anmeldung!$G$44&amp;" / "&amp;Anmeldung!$J$44)&lt;&gt;Anmeldung!$P$42),Anmeldung!$B$44&amp;": "&amp;Anmeldung!$D$44&amp;", "&amp;Anmeldung!$E$44&amp;" / "&amp;Anmeldung!$G$44&amp;" / "&amp;Anmeldung!$J$44,"")</f>
        <v/>
      </c>
      <c r="GM31" t="str">
        <f>IF(AND(37&lt;&gt;35,Anmeldung!$D$44&lt;&gt;"",Anmeldung!$G$44=Anmeldung!$G$42,Anmeldung!$J$44=Anmeldung!$J$42,(Anmeldung!$B$44&amp;": "&amp;Anmeldung!$D$44&amp;", "&amp;Anmeldung!$E$44&amp;" / "&amp;Anmeldung!$G$44&amp;" / "&amp;Anmeldung!$J$44)&lt;&gt;Anmeldung!$O$42),Anmeldung!$B$44&amp;": "&amp;Anmeldung!$D$44&amp;", "&amp;Anmeldung!$E$44&amp;" / "&amp;Anmeldung!$G$44&amp;" / "&amp;Anmeldung!$J$44,"")</f>
        <v/>
      </c>
      <c r="GN31" t="str">
        <f>IF(AND(37&lt;&gt;35,Anmeldung!$D$44&lt;&gt;"",Anmeldung!$G$44&lt;&gt;Anmeldung!$G$42,(Anmeldung!$B$44&amp;": "&amp;Anmeldung!$D$44&amp;", "&amp;Anmeldung!$E$44&amp;" / "&amp;Anmeldung!$G$44&amp;" / "&amp;Anmeldung!$J$44)&lt;&gt;Anmeldung!$S$42),Anmeldung!$B$44&amp;": "&amp;Anmeldung!$D$44&amp;", "&amp;Anmeldung!$E$44&amp;" / "&amp;Anmeldung!$G$44&amp;" / "&amp;Anmeldung!$J$44,"")</f>
        <v/>
      </c>
      <c r="GO31" t="str">
        <f>IF(AND(37&lt;&gt;35,Anmeldung!$D$44&lt;&gt;"",(Anmeldung!$B$44&amp;": "&amp;Anmeldung!$D$44&amp;", "&amp;Anmeldung!$E$44&amp;" / "&amp;Anmeldung!$G$44&amp;" / "&amp;Anmeldung!$J$44)&lt;&gt;Anmeldung!$R$42),Anmeldung!$B$44&amp;": "&amp;Anmeldung!$D$44&amp;", "&amp;Anmeldung!$E$44&amp;" / "&amp;Anmeldung!$G$44&amp;" / "&amp;Anmeldung!$J$44,"")</f>
        <v/>
      </c>
      <c r="GP31" t="str">
        <f>IF(AND(36&lt;&gt;34,Anmeldung!$D$44&lt;&gt;"",Anmeldung!$U$44="Ja",Anmeldung!$G$44=Anmeldung!$G$42,Anmeldung!$J$44=Anmeldung!$J$42),Anmeldung!$B$44&amp;": "&amp;Anmeldung!$D$44&amp;", "&amp;Anmeldung!$E$44&amp;" / "&amp;Anmeldung!$G$44&amp;" / "&amp;Anmeldung!$J$44,"")</f>
        <v/>
      </c>
      <c r="GS31" t="str">
        <f>IF(AND(37&lt;&gt;36,Anmeldung!$D$44&lt;&gt;"",Anmeldung!$G$44=Anmeldung!$G$43,Anmeldung!$J$44=Anmeldung!$J$43),Anmeldung!$B$44&amp;": "&amp;Anmeldung!$D$44&amp;", "&amp;Anmeldung!$E$44&amp;" / "&amp;Anmeldung!$G$44&amp;" / "&amp;Anmeldung!$J$44,"")</f>
        <v/>
      </c>
      <c r="GT31" t="str">
        <f>IF(AND(37&lt;&gt;36,Anmeldung!$D$44&lt;&gt;"",Anmeldung!$G$44=Anmeldung!$G$43,Anmeldung!$J$44=Anmeldung!$J$43,(Anmeldung!$B$44&amp;": "&amp;Anmeldung!$D$44&amp;", "&amp;Anmeldung!$E$44&amp;" / "&amp;Anmeldung!$G$44&amp;" / "&amp;Anmeldung!$J$44)&lt;&gt;Anmeldung!$P$43),Anmeldung!$B$44&amp;": "&amp;Anmeldung!$D$44&amp;", "&amp;Anmeldung!$E$44&amp;" / "&amp;Anmeldung!$G$44&amp;" / "&amp;Anmeldung!$J$44,"")</f>
        <v/>
      </c>
      <c r="GU31" t="str">
        <f>IF(AND(37&lt;&gt;36,Anmeldung!$D$44&lt;&gt;"",Anmeldung!$G$44=Anmeldung!$G$43,Anmeldung!$J$44=Anmeldung!$J$43,(Anmeldung!$B$44&amp;": "&amp;Anmeldung!$D$44&amp;", "&amp;Anmeldung!$E$44&amp;" / "&amp;Anmeldung!$G$44&amp;" / "&amp;Anmeldung!$J$44)&lt;&gt;Anmeldung!$O$43),Anmeldung!$B$44&amp;": "&amp;Anmeldung!$D$44&amp;", "&amp;Anmeldung!$E$44&amp;" / "&amp;Anmeldung!$G$44&amp;" / "&amp;Anmeldung!$J$44,"")</f>
        <v/>
      </c>
      <c r="GV31" t="str">
        <f>IF(AND(37&lt;&gt;36,Anmeldung!$D$44&lt;&gt;"",Anmeldung!$G$44&lt;&gt;Anmeldung!$G$43,(Anmeldung!$B$44&amp;": "&amp;Anmeldung!$D$44&amp;", "&amp;Anmeldung!$E$44&amp;" / "&amp;Anmeldung!$G$44&amp;" / "&amp;Anmeldung!$J$44)&lt;&gt;Anmeldung!$S$43),Anmeldung!$B$44&amp;": "&amp;Anmeldung!$D$44&amp;", "&amp;Anmeldung!$E$44&amp;" / "&amp;Anmeldung!$G$44&amp;" / "&amp;Anmeldung!$J$44,"")</f>
        <v/>
      </c>
      <c r="GW31" t="str">
        <f>IF(AND(37&lt;&gt;36,Anmeldung!$D$44&lt;&gt;"",(Anmeldung!$B$44&amp;": "&amp;Anmeldung!$D$44&amp;", "&amp;Anmeldung!$E$44&amp;" / "&amp;Anmeldung!$G$44&amp;" / "&amp;Anmeldung!$J$44)&lt;&gt;Anmeldung!$R$43),Anmeldung!$B$44&amp;": "&amp;Anmeldung!$D$44&amp;", "&amp;Anmeldung!$E$44&amp;" / "&amp;Anmeldung!$G$44&amp;" / "&amp;Anmeldung!$J$44,"")</f>
        <v/>
      </c>
      <c r="GX31" t="str">
        <f>IF(AND(36&lt;&gt;35,Anmeldung!$D$44&lt;&gt;"",Anmeldung!$U$44="Ja",Anmeldung!$G$44=Anmeldung!$G$43,Anmeldung!$J$44=Anmeldung!$J$43),Anmeldung!$B$44&amp;": "&amp;Anmeldung!$D$44&amp;", "&amp;Anmeldung!$E$44&amp;" / "&amp;Anmeldung!$G$44&amp;" / "&amp;Anmeldung!$J$44,"")</f>
        <v/>
      </c>
      <c r="HA31" t="str">
        <f>IF(AND(37&lt;&gt;37,Anmeldung!$D$44&lt;&gt;"",Anmeldung!$G$44=Anmeldung!$G$44,Anmeldung!$J$44=Anmeldung!$J$44),Anmeldung!$B$44&amp;": "&amp;Anmeldung!$D$44&amp;", "&amp;Anmeldung!$E$44&amp;" / "&amp;Anmeldung!$G$44&amp;" / "&amp;Anmeldung!$J$44,"")</f>
        <v/>
      </c>
      <c r="HB31" t="str">
        <f>IF(AND(37&lt;&gt;37,Anmeldung!$D$44&lt;&gt;"",Anmeldung!$G$44=Anmeldung!$G$44,Anmeldung!$J$44=Anmeldung!$J$44,(Anmeldung!$B$44&amp;": "&amp;Anmeldung!$D$44&amp;", "&amp;Anmeldung!$E$44&amp;" / "&amp;Anmeldung!$G$44&amp;" / "&amp;Anmeldung!$J$44)&lt;&gt;Anmeldung!$P$44),Anmeldung!$B$44&amp;": "&amp;Anmeldung!$D$44&amp;", "&amp;Anmeldung!$E$44&amp;" / "&amp;Anmeldung!$G$44&amp;" / "&amp;Anmeldung!$J$44,"")</f>
        <v/>
      </c>
      <c r="HC31" t="str">
        <f>IF(AND(37&lt;&gt;37,Anmeldung!$D$44&lt;&gt;"",Anmeldung!$G$44=Anmeldung!$G$44,Anmeldung!$J$44=Anmeldung!$J$44,(Anmeldung!$B$44&amp;": "&amp;Anmeldung!$D$44&amp;", "&amp;Anmeldung!$E$44&amp;" / "&amp;Anmeldung!$G$44&amp;" / "&amp;Anmeldung!$J$44)&lt;&gt;Anmeldung!$O$44),Anmeldung!$B$44&amp;": "&amp;Anmeldung!$D$44&amp;", "&amp;Anmeldung!$E$44&amp;" / "&amp;Anmeldung!$G$44&amp;" / "&amp;Anmeldung!$J$44,"")</f>
        <v/>
      </c>
      <c r="HD31" t="str">
        <f>IF(AND(37&lt;&gt;37,Anmeldung!$D$44&lt;&gt;"",Anmeldung!$G$44&lt;&gt;Anmeldung!$G$44,(Anmeldung!$B$44&amp;": "&amp;Anmeldung!$D$44&amp;", "&amp;Anmeldung!$E$44&amp;" / "&amp;Anmeldung!$G$44&amp;" / "&amp;Anmeldung!$J$44)&lt;&gt;Anmeldung!$S$44),Anmeldung!$B$44&amp;": "&amp;Anmeldung!$D$44&amp;", "&amp;Anmeldung!$E$44&amp;" / "&amp;Anmeldung!$G$44&amp;" / "&amp;Anmeldung!$J$44,"")</f>
        <v/>
      </c>
      <c r="HE31" t="str">
        <f>IF(AND(37&lt;&gt;37,Anmeldung!$D$44&lt;&gt;"",(Anmeldung!$B$44&amp;": "&amp;Anmeldung!$D$44&amp;", "&amp;Anmeldung!$E$44&amp;" / "&amp;Anmeldung!$G$44&amp;" / "&amp;Anmeldung!$J$44)&lt;&gt;Anmeldung!$R$44),Anmeldung!$B$44&amp;": "&amp;Anmeldung!$D$44&amp;", "&amp;Anmeldung!$E$44&amp;" / "&amp;Anmeldung!$G$44&amp;" / "&amp;Anmeldung!$J$44,"")</f>
        <v/>
      </c>
      <c r="HF31" t="str">
        <f>IF(AND(36&lt;&gt;36,Anmeldung!$D$44&lt;&gt;"",Anmeldung!$U$44="Ja",Anmeldung!$G$44=Anmeldung!$G$44,Anmeldung!$J$44=Anmeldung!$J$44),Anmeldung!$B$44&amp;": "&amp;Anmeldung!$D$44&amp;", "&amp;Anmeldung!$E$44&amp;" / "&amp;Anmeldung!$G$44&amp;" / "&amp;Anmeldung!$J$44,"")</f>
        <v/>
      </c>
      <c r="HI31" t="str">
        <f>IF(AND(37&lt;&gt;38,Anmeldung!$D$44&lt;&gt;"",Anmeldung!$G$44=Anmeldung!$G$45,Anmeldung!$J$44=Anmeldung!$J$45),Anmeldung!$B$44&amp;": "&amp;Anmeldung!$D$44&amp;", "&amp;Anmeldung!$E$44&amp;" / "&amp;Anmeldung!$G$44&amp;" / "&amp;Anmeldung!$J$44,"")</f>
        <v/>
      </c>
      <c r="HJ31" t="str">
        <f>IF(AND(37&lt;&gt;38,Anmeldung!$D$44&lt;&gt;"",Anmeldung!$G$44=Anmeldung!$G$45,Anmeldung!$J$44=Anmeldung!$J$45,(Anmeldung!$B$44&amp;": "&amp;Anmeldung!$D$44&amp;", "&amp;Anmeldung!$E$44&amp;" / "&amp;Anmeldung!$G$44&amp;" / "&amp;Anmeldung!$J$44)&lt;&gt;Anmeldung!$P$45),Anmeldung!$B$44&amp;": "&amp;Anmeldung!$D$44&amp;", "&amp;Anmeldung!$E$44&amp;" / "&amp;Anmeldung!$G$44&amp;" / "&amp;Anmeldung!$J$44,"")</f>
        <v/>
      </c>
      <c r="HK31" t="str">
        <f>IF(AND(37&lt;&gt;38,Anmeldung!$D$44&lt;&gt;"",Anmeldung!$G$44=Anmeldung!$G$45,Anmeldung!$J$44=Anmeldung!$J$45,(Anmeldung!$B$44&amp;": "&amp;Anmeldung!$D$44&amp;", "&amp;Anmeldung!$E$44&amp;" / "&amp;Anmeldung!$G$44&amp;" / "&amp;Anmeldung!$J$44)&lt;&gt;Anmeldung!$O$45),Anmeldung!$B$44&amp;": "&amp;Anmeldung!$D$44&amp;", "&amp;Anmeldung!$E$44&amp;" / "&amp;Anmeldung!$G$44&amp;" / "&amp;Anmeldung!$J$44,"")</f>
        <v/>
      </c>
      <c r="HL31" t="str">
        <f>IF(AND(37&lt;&gt;38,Anmeldung!$D$44&lt;&gt;"",Anmeldung!$G$44&lt;&gt;Anmeldung!$G$45,(Anmeldung!$B$44&amp;": "&amp;Anmeldung!$D$44&amp;", "&amp;Anmeldung!$E$44&amp;" / "&amp;Anmeldung!$G$44&amp;" / "&amp;Anmeldung!$J$44)&lt;&gt;Anmeldung!$S$45),Anmeldung!$B$44&amp;": "&amp;Anmeldung!$D$44&amp;", "&amp;Anmeldung!$E$44&amp;" / "&amp;Anmeldung!$G$44&amp;" / "&amp;Anmeldung!$J$44,"")</f>
        <v/>
      </c>
      <c r="HM31" t="str">
        <f>IF(AND(37&lt;&gt;38,Anmeldung!$D$44&lt;&gt;"",(Anmeldung!$B$44&amp;": "&amp;Anmeldung!$D$44&amp;", "&amp;Anmeldung!$E$44&amp;" / "&amp;Anmeldung!$G$44&amp;" / "&amp;Anmeldung!$J$44)&lt;&gt;Anmeldung!$R$45),Anmeldung!$B$44&amp;": "&amp;Anmeldung!$D$44&amp;", "&amp;Anmeldung!$E$44&amp;" / "&amp;Anmeldung!$G$44&amp;" / "&amp;Anmeldung!$J$44,"")</f>
        <v/>
      </c>
      <c r="HN31" t="str">
        <f>IF(AND(36&lt;&gt;37,Anmeldung!$D$44&lt;&gt;"",Anmeldung!$U$44="Ja",Anmeldung!$G$44=Anmeldung!$G$45,Anmeldung!$J$44=Anmeldung!$J$45),Anmeldung!$B$44&amp;": "&amp;Anmeldung!$D$44&amp;", "&amp;Anmeldung!$E$44&amp;" / "&amp;Anmeldung!$G$44&amp;" / "&amp;Anmeldung!$J$44,"")</f>
        <v/>
      </c>
      <c r="HQ31" t="str">
        <f>IF(AND(37&lt;&gt;39,Anmeldung!$D$44&lt;&gt;"",Anmeldung!$G$44=Anmeldung!$G$46,Anmeldung!$J$44=Anmeldung!$J$46),Anmeldung!$B$44&amp;": "&amp;Anmeldung!$D$44&amp;", "&amp;Anmeldung!$E$44&amp;" / "&amp;Anmeldung!$G$44&amp;" / "&amp;Anmeldung!$J$44,"")</f>
        <v/>
      </c>
      <c r="HR31" t="str">
        <f>IF(AND(37&lt;&gt;39,Anmeldung!$D$44&lt;&gt;"",Anmeldung!$G$44=Anmeldung!$G$46,Anmeldung!$J$44=Anmeldung!$J$46,(Anmeldung!$B$44&amp;": "&amp;Anmeldung!$D$44&amp;", "&amp;Anmeldung!$E$44&amp;" / "&amp;Anmeldung!$G$44&amp;" / "&amp;Anmeldung!$J$44)&lt;&gt;Anmeldung!$P$46),Anmeldung!$B$44&amp;": "&amp;Anmeldung!$D$44&amp;", "&amp;Anmeldung!$E$44&amp;" / "&amp;Anmeldung!$G$44&amp;" / "&amp;Anmeldung!$J$44,"")</f>
        <v/>
      </c>
      <c r="HS31" t="str">
        <f>IF(AND(37&lt;&gt;39,Anmeldung!$D$44&lt;&gt;"",Anmeldung!$G$44=Anmeldung!$G$46,Anmeldung!$J$44=Anmeldung!$J$46,(Anmeldung!$B$44&amp;": "&amp;Anmeldung!$D$44&amp;", "&amp;Anmeldung!$E$44&amp;" / "&amp;Anmeldung!$G$44&amp;" / "&amp;Anmeldung!$J$44)&lt;&gt;Anmeldung!$O$46),Anmeldung!$B$44&amp;": "&amp;Anmeldung!$D$44&amp;", "&amp;Anmeldung!$E$44&amp;" / "&amp;Anmeldung!$G$44&amp;" / "&amp;Anmeldung!$J$44,"")</f>
        <v/>
      </c>
      <c r="HT31" t="str">
        <f>IF(AND(37&lt;&gt;39,Anmeldung!$D$44&lt;&gt;"",Anmeldung!$G$44&lt;&gt;Anmeldung!$G$46,(Anmeldung!$B$44&amp;": "&amp;Anmeldung!$D$44&amp;", "&amp;Anmeldung!$E$44&amp;" / "&amp;Anmeldung!$G$44&amp;" / "&amp;Anmeldung!$J$44)&lt;&gt;Anmeldung!$S$46),Anmeldung!$B$44&amp;": "&amp;Anmeldung!$D$44&amp;", "&amp;Anmeldung!$E$44&amp;" / "&amp;Anmeldung!$G$44&amp;" / "&amp;Anmeldung!$J$44,"")</f>
        <v/>
      </c>
      <c r="HU31" t="str">
        <f>IF(AND(37&lt;&gt;39,Anmeldung!$D$44&lt;&gt;"",(Anmeldung!$B$44&amp;": "&amp;Anmeldung!$D$44&amp;", "&amp;Anmeldung!$E$44&amp;" / "&amp;Anmeldung!$G$44&amp;" / "&amp;Anmeldung!$J$44)&lt;&gt;Anmeldung!$R$46),Anmeldung!$B$44&amp;": "&amp;Anmeldung!$D$44&amp;", "&amp;Anmeldung!$E$44&amp;" / "&amp;Anmeldung!$G$44&amp;" / "&amp;Anmeldung!$J$44,"")</f>
        <v/>
      </c>
      <c r="HV31" t="str">
        <f>IF(AND(36&lt;&gt;38,Anmeldung!$D$44&lt;&gt;"",Anmeldung!$U$44="Ja",Anmeldung!$G$44=Anmeldung!$G$46,Anmeldung!$J$44=Anmeldung!$J$46),Anmeldung!$B$44&amp;": "&amp;Anmeldung!$D$44&amp;", "&amp;Anmeldung!$E$44&amp;" / "&amp;Anmeldung!$G$44&amp;" / "&amp;Anmeldung!$J$44,"")</f>
        <v/>
      </c>
      <c r="HY31" t="str">
        <f>IF(AND(37&lt;&gt;40,Anmeldung!$D$44&lt;&gt;"",Anmeldung!$G$44=Anmeldung!$G$47,Anmeldung!$J$44=Anmeldung!$J$47),Anmeldung!$B$44&amp;": "&amp;Anmeldung!$D$44&amp;", "&amp;Anmeldung!$E$44&amp;" / "&amp;Anmeldung!$G$44&amp;" / "&amp;Anmeldung!$J$44,"")</f>
        <v/>
      </c>
      <c r="HZ31" t="str">
        <f>IF(AND(37&lt;&gt;40,Anmeldung!$D$44&lt;&gt;"",Anmeldung!$G$44=Anmeldung!$G$47,Anmeldung!$J$44=Anmeldung!$J$47,(Anmeldung!$B$44&amp;": "&amp;Anmeldung!$D$44&amp;", "&amp;Anmeldung!$E$44&amp;" / "&amp;Anmeldung!$G$44&amp;" / "&amp;Anmeldung!$J$44)&lt;&gt;Anmeldung!$P$47),Anmeldung!$B$44&amp;": "&amp;Anmeldung!$D$44&amp;", "&amp;Anmeldung!$E$44&amp;" / "&amp;Anmeldung!$G$44&amp;" / "&amp;Anmeldung!$J$44,"")</f>
        <v/>
      </c>
      <c r="IA31" t="str">
        <f>IF(AND(37&lt;&gt;40,Anmeldung!$D$44&lt;&gt;"",Anmeldung!$G$44=Anmeldung!$G$47,Anmeldung!$J$44=Anmeldung!$J$47,(Anmeldung!$B$44&amp;": "&amp;Anmeldung!$D$44&amp;", "&amp;Anmeldung!$E$44&amp;" / "&amp;Anmeldung!$G$44&amp;" / "&amp;Anmeldung!$J$44)&lt;&gt;Anmeldung!$O$47),Anmeldung!$B$44&amp;": "&amp;Anmeldung!$D$44&amp;", "&amp;Anmeldung!$E$44&amp;" / "&amp;Anmeldung!$G$44&amp;" / "&amp;Anmeldung!$J$44,"")</f>
        <v/>
      </c>
      <c r="IB31" t="str">
        <f>IF(AND(37&lt;&gt;40,Anmeldung!$D$44&lt;&gt;"",Anmeldung!$G$44&lt;&gt;Anmeldung!$G$47,(Anmeldung!$B$44&amp;": "&amp;Anmeldung!$D$44&amp;", "&amp;Anmeldung!$E$44&amp;" / "&amp;Anmeldung!$G$44&amp;" / "&amp;Anmeldung!$J$44)&lt;&gt;Anmeldung!$S$47),Anmeldung!$B$44&amp;": "&amp;Anmeldung!$D$44&amp;", "&amp;Anmeldung!$E$44&amp;" / "&amp;Anmeldung!$G$44&amp;" / "&amp;Anmeldung!$J$44,"")</f>
        <v/>
      </c>
      <c r="IC31" t="str">
        <f>IF(AND(37&lt;&gt;40,Anmeldung!$D$44&lt;&gt;"",(Anmeldung!$B$44&amp;": "&amp;Anmeldung!$D$44&amp;", "&amp;Anmeldung!$E$44&amp;" / "&amp;Anmeldung!$G$44&amp;" / "&amp;Anmeldung!$J$44)&lt;&gt;Anmeldung!$R$47),Anmeldung!$B$44&amp;": "&amp;Anmeldung!$D$44&amp;", "&amp;Anmeldung!$E$44&amp;" / "&amp;Anmeldung!$G$44&amp;" / "&amp;Anmeldung!$J$44,"")</f>
        <v/>
      </c>
      <c r="ID31" t="str">
        <f>IF(AND(36&lt;&gt;39,Anmeldung!$D$44&lt;&gt;"",Anmeldung!$U$44="Ja",Anmeldung!$G$44=Anmeldung!$G$47,Anmeldung!$J$44=Anmeldung!$J$47),Anmeldung!$B$44&amp;": "&amp;Anmeldung!$D$44&amp;", "&amp;Anmeldung!$E$44&amp;" / "&amp;Anmeldung!$G$44&amp;" / "&amp;Anmeldung!$J$44,"")</f>
        <v/>
      </c>
    </row>
    <row r="32" spans="1:238" ht="14.25" customHeight="1" x14ac:dyDescent="0.3">
      <c r="A32" t="str">
        <f>IF(AND(38&lt;&gt;11,Anmeldung!$D$45&lt;&gt;"",Anmeldung!$G$45=Anmeldung!$G$18,Anmeldung!$J$45=Anmeldung!$J$18),Anmeldung!$B$45&amp;": "&amp;Anmeldung!$D$45&amp;", "&amp;Anmeldung!$E$45&amp;" / "&amp;Anmeldung!$G$45&amp;" / "&amp;Anmeldung!$J$45,"")</f>
        <v/>
      </c>
      <c r="B32" t="str">
        <f>IF(AND(38&lt;&gt;11,Anmeldung!$D$45&lt;&gt;"",Anmeldung!$G$45=Anmeldung!$G$18,Anmeldung!$J$45=Anmeldung!$J$18,(Anmeldung!$B$45&amp;": "&amp;Anmeldung!$D$45&amp;", "&amp;Anmeldung!$E$45&amp;" / "&amp;Anmeldung!$G$45&amp;" / "&amp;Anmeldung!$J$45)&lt;&gt;Anmeldung!$P$18),Anmeldung!$B$45&amp;": "&amp;Anmeldung!$D$45&amp;", "&amp;Anmeldung!$E$45&amp;" / "&amp;Anmeldung!$G$45&amp;" / "&amp;Anmeldung!$J$45,"")</f>
        <v/>
      </c>
      <c r="C32" t="str">
        <f>IF(AND(38&lt;&gt;11,Anmeldung!$D$45&lt;&gt;"",Anmeldung!$G$45=Anmeldung!$G$18,Anmeldung!$J$45=Anmeldung!$J$18,(Anmeldung!$B$45&amp;": "&amp;Anmeldung!$D$45&amp;", "&amp;Anmeldung!$E$45&amp;" / "&amp;Anmeldung!$G$45&amp;" / "&amp;Anmeldung!$J$45)&lt;&gt;Anmeldung!$O$18),Anmeldung!$B$45&amp;": "&amp;Anmeldung!$D$45&amp;", "&amp;Anmeldung!$E$45&amp;" / "&amp;Anmeldung!$G$45&amp;" / "&amp;Anmeldung!$J$45,"")</f>
        <v/>
      </c>
      <c r="D32" t="str">
        <f>IF(AND(38&lt;&gt;11,Anmeldung!$D$45&lt;&gt;"",Anmeldung!$G$45&lt;&gt;Anmeldung!$G$18,(Anmeldung!$B$45&amp;": "&amp;Anmeldung!$D$45&amp;", "&amp;Anmeldung!$E$45&amp;" / "&amp;Anmeldung!$G$45&amp;" / "&amp;Anmeldung!$J$45)&lt;&gt;Anmeldung!$S$18),Anmeldung!$B$45&amp;": "&amp;Anmeldung!$D$45&amp;", "&amp;Anmeldung!$E$45&amp;" / "&amp;Anmeldung!$G$45&amp;" / "&amp;Anmeldung!$J$45,"")</f>
        <v/>
      </c>
      <c r="E32" t="str">
        <f>IF(AND(38&lt;&gt;11,Anmeldung!$D$45&lt;&gt;"",(Anmeldung!$B$45&amp;": "&amp;Anmeldung!$D$45&amp;", "&amp;Anmeldung!$E$45&amp;" / "&amp;Anmeldung!$G$45&amp;" / "&amp;Anmeldung!$J$45)&lt;&gt;Anmeldung!$R$18),Anmeldung!$B$45&amp;": "&amp;Anmeldung!$D$45&amp;", "&amp;Anmeldung!$E$45&amp;" / "&amp;Anmeldung!$G$45&amp;" / "&amp;Anmeldung!$J$45,"")</f>
        <v/>
      </c>
      <c r="F32" t="str">
        <f>IF(AND(37&lt;&gt;10,Anmeldung!$D$45&lt;&gt;"",Anmeldung!$U$45="Ja",Anmeldung!$G$45=Anmeldung!$G$18,Anmeldung!$J$45=Anmeldung!$J$18),Anmeldung!$B$45&amp;": "&amp;Anmeldung!$D$45&amp;", "&amp;Anmeldung!$E$45&amp;" / "&amp;Anmeldung!$G$45&amp;" / "&amp;Anmeldung!$J$45,"")</f>
        <v/>
      </c>
      <c r="I32" t="str">
        <f>IF(AND(38&lt;&gt;12,Anmeldung!$D$45&lt;&gt;"",Anmeldung!$G$45=Anmeldung!$G$19,Anmeldung!$J$45=Anmeldung!$J$19),Anmeldung!$B$45&amp;": "&amp;Anmeldung!$D$45&amp;", "&amp;Anmeldung!$E$45&amp;" / "&amp;Anmeldung!$G$45&amp;" / "&amp;Anmeldung!$J$45,"")</f>
        <v/>
      </c>
      <c r="J32" t="str">
        <f>IF(AND(38&lt;&gt;12,Anmeldung!$D$45&lt;&gt;"",Anmeldung!$G$45=Anmeldung!$G$19,Anmeldung!$J$45=Anmeldung!$J$19,(Anmeldung!$B$45&amp;": "&amp;Anmeldung!$D$45&amp;", "&amp;Anmeldung!$E$45&amp;" / "&amp;Anmeldung!$G$45&amp;" / "&amp;Anmeldung!$J$45)&lt;&gt;Anmeldung!$P$19),Anmeldung!$B$45&amp;": "&amp;Anmeldung!$D$45&amp;", "&amp;Anmeldung!$E$45&amp;" / "&amp;Anmeldung!$G$45&amp;" / "&amp;Anmeldung!$J$45,"")</f>
        <v/>
      </c>
      <c r="K32" t="str">
        <f>IF(AND(38&lt;&gt;12,Anmeldung!$D$45&lt;&gt;"",Anmeldung!$G$45=Anmeldung!$G$19,Anmeldung!$J$45=Anmeldung!$J$19,(Anmeldung!$B$45&amp;": "&amp;Anmeldung!$D$45&amp;", "&amp;Anmeldung!$E$45&amp;" / "&amp;Anmeldung!$G$45&amp;" / "&amp;Anmeldung!$J$45)&lt;&gt;Anmeldung!$O$19),Anmeldung!$B$45&amp;": "&amp;Anmeldung!$D$45&amp;", "&amp;Anmeldung!$E$45&amp;" / "&amp;Anmeldung!$G$45&amp;" / "&amp;Anmeldung!$J$45,"")</f>
        <v/>
      </c>
      <c r="L32" t="str">
        <f>IF(AND(38&lt;&gt;12,Anmeldung!$D$45&lt;&gt;"",Anmeldung!$G$45&lt;&gt;Anmeldung!$G$19,(Anmeldung!$B$45&amp;": "&amp;Anmeldung!$D$45&amp;", "&amp;Anmeldung!$E$45&amp;" / "&amp;Anmeldung!$G$45&amp;" / "&amp;Anmeldung!$J$45)&lt;&gt;Anmeldung!$S$19),Anmeldung!$B$45&amp;": "&amp;Anmeldung!$D$45&amp;", "&amp;Anmeldung!$E$45&amp;" / "&amp;Anmeldung!$G$45&amp;" / "&amp;Anmeldung!$J$45,"")</f>
        <v/>
      </c>
      <c r="M32" t="str">
        <f>IF(AND(38&lt;&gt;12,Anmeldung!$D$45&lt;&gt;"",(Anmeldung!$B$45&amp;": "&amp;Anmeldung!$D$45&amp;", "&amp;Anmeldung!$E$45&amp;" / "&amp;Anmeldung!$G$45&amp;" / "&amp;Anmeldung!$J$45)&lt;&gt;Anmeldung!$R$19),Anmeldung!$B$45&amp;": "&amp;Anmeldung!$D$45&amp;", "&amp;Anmeldung!$E$45&amp;" / "&amp;Anmeldung!$G$45&amp;" / "&amp;Anmeldung!$J$45,"")</f>
        <v/>
      </c>
      <c r="N32" t="str">
        <f>IF(AND(37&lt;&gt;11,Anmeldung!$D$45&lt;&gt;"",Anmeldung!$U$45="Ja",Anmeldung!$G$45=Anmeldung!$G$19,Anmeldung!$J$45=Anmeldung!$J$19),Anmeldung!$B$45&amp;": "&amp;Anmeldung!$D$45&amp;", "&amp;Anmeldung!$E$45&amp;" / "&amp;Anmeldung!$G$45&amp;" / "&amp;Anmeldung!$J$45,"")</f>
        <v/>
      </c>
      <c r="Q32" t="str">
        <f>IF(AND(38&lt;&gt;13,Anmeldung!$D$45&lt;&gt;"",Anmeldung!$G$45=Anmeldung!$G$20,Anmeldung!$J$45=Anmeldung!$J$20),Anmeldung!$B$45&amp;": "&amp;Anmeldung!$D$45&amp;", "&amp;Anmeldung!$E$45&amp;" / "&amp;Anmeldung!$G$45&amp;" / "&amp;Anmeldung!$J$45,"")</f>
        <v/>
      </c>
      <c r="R32" t="str">
        <f>IF(AND(38&lt;&gt;13,Anmeldung!$D$45&lt;&gt;"",Anmeldung!$G$45=Anmeldung!$G$20,Anmeldung!$J$45=Anmeldung!$J$20,(Anmeldung!$B$45&amp;": "&amp;Anmeldung!$D$45&amp;", "&amp;Anmeldung!$E$45&amp;" / "&amp;Anmeldung!$G$45&amp;" / "&amp;Anmeldung!$J$45)&lt;&gt;Anmeldung!$P$20),Anmeldung!$B$45&amp;": "&amp;Anmeldung!$D$45&amp;", "&amp;Anmeldung!$E$45&amp;" / "&amp;Anmeldung!$G$45&amp;" / "&amp;Anmeldung!$J$45,"")</f>
        <v/>
      </c>
      <c r="S32" t="str">
        <f>IF(AND(38&lt;&gt;13,Anmeldung!$D$45&lt;&gt;"",Anmeldung!$G$45=Anmeldung!$G$20,Anmeldung!$J$45=Anmeldung!$J$20,(Anmeldung!$B$45&amp;": "&amp;Anmeldung!$D$45&amp;", "&amp;Anmeldung!$E$45&amp;" / "&amp;Anmeldung!$G$45&amp;" / "&amp;Anmeldung!$J$45)&lt;&gt;Anmeldung!$O$20),Anmeldung!$B$45&amp;": "&amp;Anmeldung!$D$45&amp;", "&amp;Anmeldung!$E$45&amp;" / "&amp;Anmeldung!$G$45&amp;" / "&amp;Anmeldung!$J$45,"")</f>
        <v/>
      </c>
      <c r="T32" t="str">
        <f>IF(AND(38&lt;&gt;13,Anmeldung!$D$45&lt;&gt;"",Anmeldung!$G$45&lt;&gt;Anmeldung!$G$20,(Anmeldung!$B$45&amp;": "&amp;Anmeldung!$D$45&amp;", "&amp;Anmeldung!$E$45&amp;" / "&amp;Anmeldung!$G$45&amp;" / "&amp;Anmeldung!$J$45)&lt;&gt;Anmeldung!$S$20),Anmeldung!$B$45&amp;": "&amp;Anmeldung!$D$45&amp;", "&amp;Anmeldung!$E$45&amp;" / "&amp;Anmeldung!$G$45&amp;" / "&amp;Anmeldung!$J$45,"")</f>
        <v/>
      </c>
      <c r="U32" t="str">
        <f>IF(AND(38&lt;&gt;13,Anmeldung!$D$45&lt;&gt;"",(Anmeldung!$B$45&amp;": "&amp;Anmeldung!$D$45&amp;", "&amp;Anmeldung!$E$45&amp;" / "&amp;Anmeldung!$G$45&amp;" / "&amp;Anmeldung!$J$45)&lt;&gt;Anmeldung!$R$20),Anmeldung!$B$45&amp;": "&amp;Anmeldung!$D$45&amp;", "&amp;Anmeldung!$E$45&amp;" / "&amp;Anmeldung!$G$45&amp;" / "&amp;Anmeldung!$J$45,"")</f>
        <v/>
      </c>
      <c r="V32" t="str">
        <f>IF(AND(37&lt;&gt;12,Anmeldung!$D$45&lt;&gt;"",Anmeldung!$U$45="Ja",Anmeldung!$G$45=Anmeldung!$G$20,Anmeldung!$J$45=Anmeldung!$J$20),Anmeldung!$B$45&amp;": "&amp;Anmeldung!$D$45&amp;", "&amp;Anmeldung!$E$45&amp;" / "&amp;Anmeldung!$G$45&amp;" / "&amp;Anmeldung!$J$45,"")</f>
        <v/>
      </c>
      <c r="Y32" t="str">
        <f>IF(AND(38&lt;&gt;14,Anmeldung!$D$45&lt;&gt;"",Anmeldung!$G$45=Anmeldung!$G$21,Anmeldung!$J$45=Anmeldung!$J$21),Anmeldung!$B$45&amp;": "&amp;Anmeldung!$D$45&amp;", "&amp;Anmeldung!$E$45&amp;" / "&amp;Anmeldung!$G$45&amp;" / "&amp;Anmeldung!$J$45,"")</f>
        <v/>
      </c>
      <c r="Z32" t="str">
        <f>IF(AND(38&lt;&gt;14,Anmeldung!$D$45&lt;&gt;"",Anmeldung!$G$45=Anmeldung!$G$21,Anmeldung!$J$45=Anmeldung!$J$21,(Anmeldung!$B$45&amp;": "&amp;Anmeldung!$D$45&amp;", "&amp;Anmeldung!$E$45&amp;" / "&amp;Anmeldung!$G$45&amp;" / "&amp;Anmeldung!$J$45)&lt;&gt;Anmeldung!$P$21),Anmeldung!$B$45&amp;": "&amp;Anmeldung!$D$45&amp;", "&amp;Anmeldung!$E$45&amp;" / "&amp;Anmeldung!$G$45&amp;" / "&amp;Anmeldung!$J$45,"")</f>
        <v/>
      </c>
      <c r="AA32" t="str">
        <f>IF(AND(38&lt;&gt;14,Anmeldung!$D$45&lt;&gt;"",Anmeldung!$G$45=Anmeldung!$G$21,Anmeldung!$J$45=Anmeldung!$J$21,(Anmeldung!$B$45&amp;": "&amp;Anmeldung!$D$45&amp;", "&amp;Anmeldung!$E$45&amp;" / "&amp;Anmeldung!$G$45&amp;" / "&amp;Anmeldung!$J$45)&lt;&gt;Anmeldung!$O$21),Anmeldung!$B$45&amp;": "&amp;Anmeldung!$D$45&amp;", "&amp;Anmeldung!$E$45&amp;" / "&amp;Anmeldung!$G$45&amp;" / "&amp;Anmeldung!$J$45,"")</f>
        <v/>
      </c>
      <c r="AB32" t="str">
        <f>IF(AND(38&lt;&gt;14,Anmeldung!$D$45&lt;&gt;"",Anmeldung!$G$45&lt;&gt;Anmeldung!$G$21,(Anmeldung!$B$45&amp;": "&amp;Anmeldung!$D$45&amp;", "&amp;Anmeldung!$E$45&amp;" / "&amp;Anmeldung!$G$45&amp;" / "&amp;Anmeldung!$J$45)&lt;&gt;Anmeldung!$S$21),Anmeldung!$B$45&amp;": "&amp;Anmeldung!$D$45&amp;", "&amp;Anmeldung!$E$45&amp;" / "&amp;Anmeldung!$G$45&amp;" / "&amp;Anmeldung!$J$45,"")</f>
        <v/>
      </c>
      <c r="AC32" t="str">
        <f>IF(AND(38&lt;&gt;14,Anmeldung!$D$45&lt;&gt;"",(Anmeldung!$B$45&amp;": "&amp;Anmeldung!$D$45&amp;", "&amp;Anmeldung!$E$45&amp;" / "&amp;Anmeldung!$G$45&amp;" / "&amp;Anmeldung!$J$45)&lt;&gt;Anmeldung!$R$21),Anmeldung!$B$45&amp;": "&amp;Anmeldung!$D$45&amp;", "&amp;Anmeldung!$E$45&amp;" / "&amp;Anmeldung!$G$45&amp;" / "&amp;Anmeldung!$J$45,"")</f>
        <v/>
      </c>
      <c r="AD32" t="str">
        <f>IF(AND(37&lt;&gt;13,Anmeldung!$D$45&lt;&gt;"",Anmeldung!$U$45="Ja",Anmeldung!$G$45=Anmeldung!$G$21,Anmeldung!$J$45=Anmeldung!$J$21),Anmeldung!$B$45&amp;": "&amp;Anmeldung!$D$45&amp;", "&amp;Anmeldung!$E$45&amp;" / "&amp;Anmeldung!$G$45&amp;" / "&amp;Anmeldung!$J$45,"")</f>
        <v/>
      </c>
      <c r="AG32" t="str">
        <f>IF(AND(38&lt;&gt;15,Anmeldung!$D$45&lt;&gt;"",Anmeldung!$G$45=Anmeldung!$G$22,Anmeldung!$J$45=Anmeldung!$J$22),Anmeldung!$B$45&amp;": "&amp;Anmeldung!$D$45&amp;", "&amp;Anmeldung!$E$45&amp;" / "&amp;Anmeldung!$G$45&amp;" / "&amp;Anmeldung!$J$45,"")</f>
        <v/>
      </c>
      <c r="AH32" t="str">
        <f>IF(AND(38&lt;&gt;15,Anmeldung!$D$45&lt;&gt;"",Anmeldung!$G$45=Anmeldung!$G$22,Anmeldung!$J$45=Anmeldung!$J$22,(Anmeldung!$B$45&amp;": "&amp;Anmeldung!$D$45&amp;", "&amp;Anmeldung!$E$45&amp;" / "&amp;Anmeldung!$G$45&amp;" / "&amp;Anmeldung!$J$45)&lt;&gt;Anmeldung!$P$22),Anmeldung!$B$45&amp;": "&amp;Anmeldung!$D$45&amp;", "&amp;Anmeldung!$E$45&amp;" / "&amp;Anmeldung!$G$45&amp;" / "&amp;Anmeldung!$J$45,"")</f>
        <v/>
      </c>
      <c r="AI32" t="str">
        <f>IF(AND(38&lt;&gt;15,Anmeldung!$D$45&lt;&gt;"",Anmeldung!$G$45=Anmeldung!$G$22,Anmeldung!$J$45=Anmeldung!$J$22,(Anmeldung!$B$45&amp;": "&amp;Anmeldung!$D$45&amp;", "&amp;Anmeldung!$E$45&amp;" / "&amp;Anmeldung!$G$45&amp;" / "&amp;Anmeldung!$J$45)&lt;&gt;Anmeldung!$O$22),Anmeldung!$B$45&amp;": "&amp;Anmeldung!$D$45&amp;", "&amp;Anmeldung!$E$45&amp;" / "&amp;Anmeldung!$G$45&amp;" / "&amp;Anmeldung!$J$45,"")</f>
        <v/>
      </c>
      <c r="AJ32" t="str">
        <f>IF(AND(38&lt;&gt;15,Anmeldung!$D$45&lt;&gt;"",Anmeldung!$G$45&lt;&gt;Anmeldung!$G$22,(Anmeldung!$B$45&amp;": "&amp;Anmeldung!$D$45&amp;", "&amp;Anmeldung!$E$45&amp;" / "&amp;Anmeldung!$G$45&amp;" / "&amp;Anmeldung!$J$45)&lt;&gt;Anmeldung!$S$22),Anmeldung!$B$45&amp;": "&amp;Anmeldung!$D$45&amp;", "&amp;Anmeldung!$E$45&amp;" / "&amp;Anmeldung!$G$45&amp;" / "&amp;Anmeldung!$J$45,"")</f>
        <v/>
      </c>
      <c r="AK32" t="str">
        <f>IF(AND(38&lt;&gt;15,Anmeldung!$D$45&lt;&gt;"",(Anmeldung!$B$45&amp;": "&amp;Anmeldung!$D$45&amp;", "&amp;Anmeldung!$E$45&amp;" / "&amp;Anmeldung!$G$45&amp;" / "&amp;Anmeldung!$J$45)&lt;&gt;Anmeldung!$R$22),Anmeldung!$B$45&amp;": "&amp;Anmeldung!$D$45&amp;", "&amp;Anmeldung!$E$45&amp;" / "&amp;Anmeldung!$G$45&amp;" / "&amp;Anmeldung!$J$45,"")</f>
        <v/>
      </c>
      <c r="AL32" t="str">
        <f>IF(AND(37&lt;&gt;14,Anmeldung!$D$45&lt;&gt;"",Anmeldung!$U$45="Ja",Anmeldung!$G$45=Anmeldung!$G$22,Anmeldung!$J$45=Anmeldung!$J$22),Anmeldung!$B$45&amp;": "&amp;Anmeldung!$D$45&amp;", "&amp;Anmeldung!$E$45&amp;" / "&amp;Anmeldung!$G$45&amp;" / "&amp;Anmeldung!$J$45,"")</f>
        <v/>
      </c>
      <c r="AO32" t="str">
        <f>IF(AND(38&lt;&gt;16,Anmeldung!$D$45&lt;&gt;"",Anmeldung!$G$45=Anmeldung!$G$23,Anmeldung!$J$45=Anmeldung!$J$23),Anmeldung!$B$45&amp;": "&amp;Anmeldung!$D$45&amp;", "&amp;Anmeldung!$E$45&amp;" / "&amp;Anmeldung!$G$45&amp;" / "&amp;Anmeldung!$J$45,"")</f>
        <v/>
      </c>
      <c r="AP32" t="str">
        <f>IF(AND(38&lt;&gt;16,Anmeldung!$D$45&lt;&gt;"",Anmeldung!$G$45=Anmeldung!$G$23,Anmeldung!$J$45=Anmeldung!$J$23,(Anmeldung!$B$45&amp;": "&amp;Anmeldung!$D$45&amp;", "&amp;Anmeldung!$E$45&amp;" / "&amp;Anmeldung!$G$45&amp;" / "&amp;Anmeldung!$J$45)&lt;&gt;Anmeldung!$P$23),Anmeldung!$B$45&amp;": "&amp;Anmeldung!$D$45&amp;", "&amp;Anmeldung!$E$45&amp;" / "&amp;Anmeldung!$G$45&amp;" / "&amp;Anmeldung!$J$45,"")</f>
        <v/>
      </c>
      <c r="AQ32" t="str">
        <f>IF(AND(38&lt;&gt;16,Anmeldung!$D$45&lt;&gt;"",Anmeldung!$G$45=Anmeldung!$G$23,Anmeldung!$J$45=Anmeldung!$J$23,(Anmeldung!$B$45&amp;": "&amp;Anmeldung!$D$45&amp;", "&amp;Anmeldung!$E$45&amp;" / "&amp;Anmeldung!$G$45&amp;" / "&amp;Anmeldung!$J$45)&lt;&gt;Anmeldung!$O$23),Anmeldung!$B$45&amp;": "&amp;Anmeldung!$D$45&amp;", "&amp;Anmeldung!$E$45&amp;" / "&amp;Anmeldung!$G$45&amp;" / "&amp;Anmeldung!$J$45,"")</f>
        <v/>
      </c>
      <c r="AR32" t="str">
        <f>IF(AND(38&lt;&gt;16,Anmeldung!$D$45&lt;&gt;"",Anmeldung!$G$45&lt;&gt;Anmeldung!$G$23,(Anmeldung!$B$45&amp;": "&amp;Anmeldung!$D$45&amp;", "&amp;Anmeldung!$E$45&amp;" / "&amp;Anmeldung!$G$45&amp;" / "&amp;Anmeldung!$J$45)&lt;&gt;Anmeldung!$S$23),Anmeldung!$B$45&amp;": "&amp;Anmeldung!$D$45&amp;", "&amp;Anmeldung!$E$45&amp;" / "&amp;Anmeldung!$G$45&amp;" / "&amp;Anmeldung!$J$45,"")</f>
        <v/>
      </c>
      <c r="AS32" t="str">
        <f>IF(AND(38&lt;&gt;16,Anmeldung!$D$45&lt;&gt;"",(Anmeldung!$B$45&amp;": "&amp;Anmeldung!$D$45&amp;", "&amp;Anmeldung!$E$45&amp;" / "&amp;Anmeldung!$G$45&amp;" / "&amp;Anmeldung!$J$45)&lt;&gt;Anmeldung!$R$23),Anmeldung!$B$45&amp;": "&amp;Anmeldung!$D$45&amp;", "&amp;Anmeldung!$E$45&amp;" / "&amp;Anmeldung!$G$45&amp;" / "&amp;Anmeldung!$J$45,"")</f>
        <v/>
      </c>
      <c r="AT32" t="str">
        <f>IF(AND(37&lt;&gt;15,Anmeldung!$D$45&lt;&gt;"",Anmeldung!$U$45="Ja",Anmeldung!$G$45=Anmeldung!$G$23,Anmeldung!$J$45=Anmeldung!$J$23),Anmeldung!$B$45&amp;": "&amp;Anmeldung!$D$45&amp;", "&amp;Anmeldung!$E$45&amp;" / "&amp;Anmeldung!$G$45&amp;" / "&amp;Anmeldung!$J$45,"")</f>
        <v/>
      </c>
      <c r="AW32" t="str">
        <f>IF(AND(38&lt;&gt;17,Anmeldung!$D$45&lt;&gt;"",Anmeldung!$G$45=Anmeldung!$G$24,Anmeldung!$J$45=Anmeldung!$J$24),Anmeldung!$B$45&amp;": "&amp;Anmeldung!$D$45&amp;", "&amp;Anmeldung!$E$45&amp;" / "&amp;Anmeldung!$G$45&amp;" / "&amp;Anmeldung!$J$45,"")</f>
        <v/>
      </c>
      <c r="AX32" t="str">
        <f>IF(AND(38&lt;&gt;17,Anmeldung!$D$45&lt;&gt;"",Anmeldung!$G$45=Anmeldung!$G$24,Anmeldung!$J$45=Anmeldung!$J$24,(Anmeldung!$B$45&amp;": "&amp;Anmeldung!$D$45&amp;", "&amp;Anmeldung!$E$45&amp;" / "&amp;Anmeldung!$G$45&amp;" / "&amp;Anmeldung!$J$45)&lt;&gt;Anmeldung!$P$24),Anmeldung!$B$45&amp;": "&amp;Anmeldung!$D$45&amp;", "&amp;Anmeldung!$E$45&amp;" / "&amp;Anmeldung!$G$45&amp;" / "&amp;Anmeldung!$J$45,"")</f>
        <v/>
      </c>
      <c r="AY32" t="str">
        <f>IF(AND(38&lt;&gt;17,Anmeldung!$D$45&lt;&gt;"",Anmeldung!$G$45=Anmeldung!$G$24,Anmeldung!$J$45=Anmeldung!$J$24,(Anmeldung!$B$45&amp;": "&amp;Anmeldung!$D$45&amp;", "&amp;Anmeldung!$E$45&amp;" / "&amp;Anmeldung!$G$45&amp;" / "&amp;Anmeldung!$J$45)&lt;&gt;Anmeldung!$O$24),Anmeldung!$B$45&amp;": "&amp;Anmeldung!$D$45&amp;", "&amp;Anmeldung!$E$45&amp;" / "&amp;Anmeldung!$G$45&amp;" / "&amp;Anmeldung!$J$45,"")</f>
        <v/>
      </c>
      <c r="AZ32" t="str">
        <f>IF(AND(38&lt;&gt;17,Anmeldung!$D$45&lt;&gt;"",Anmeldung!$G$45&lt;&gt;Anmeldung!$G$24,(Anmeldung!$B$45&amp;": "&amp;Anmeldung!$D$45&amp;", "&amp;Anmeldung!$E$45&amp;" / "&amp;Anmeldung!$G$45&amp;" / "&amp;Anmeldung!$J$45)&lt;&gt;Anmeldung!$S$24),Anmeldung!$B$45&amp;": "&amp;Anmeldung!$D$45&amp;", "&amp;Anmeldung!$E$45&amp;" / "&amp;Anmeldung!$G$45&amp;" / "&amp;Anmeldung!$J$45,"")</f>
        <v/>
      </c>
      <c r="BA32" t="str">
        <f>IF(AND(38&lt;&gt;17,Anmeldung!$D$45&lt;&gt;"",(Anmeldung!$B$45&amp;": "&amp;Anmeldung!$D$45&amp;", "&amp;Anmeldung!$E$45&amp;" / "&amp;Anmeldung!$G$45&amp;" / "&amp;Anmeldung!$J$45)&lt;&gt;Anmeldung!$R$24),Anmeldung!$B$45&amp;": "&amp;Anmeldung!$D$45&amp;", "&amp;Anmeldung!$E$45&amp;" / "&amp;Anmeldung!$G$45&amp;" / "&amp;Anmeldung!$J$45,"")</f>
        <v/>
      </c>
      <c r="BB32" t="str">
        <f>IF(AND(37&lt;&gt;16,Anmeldung!$D$45&lt;&gt;"",Anmeldung!$U$45="Ja",Anmeldung!$G$45=Anmeldung!$G$24,Anmeldung!$J$45=Anmeldung!$J$24),Anmeldung!$B$45&amp;": "&amp;Anmeldung!$D$45&amp;", "&amp;Anmeldung!$E$45&amp;" / "&amp;Anmeldung!$G$45&amp;" / "&amp;Anmeldung!$J$45,"")</f>
        <v/>
      </c>
      <c r="BE32" t="str">
        <f>IF(AND(38&lt;&gt;18,Anmeldung!$D$45&lt;&gt;"",Anmeldung!$G$45=Anmeldung!$G$25,Anmeldung!$J$45=Anmeldung!$J$25),Anmeldung!$B$45&amp;": "&amp;Anmeldung!$D$45&amp;", "&amp;Anmeldung!$E$45&amp;" / "&amp;Anmeldung!$G$45&amp;" / "&amp;Anmeldung!$J$45,"")</f>
        <v/>
      </c>
      <c r="BF32" t="str">
        <f>IF(AND(38&lt;&gt;18,Anmeldung!$D$45&lt;&gt;"",Anmeldung!$G$45=Anmeldung!$G$25,Anmeldung!$J$45=Anmeldung!$J$25,(Anmeldung!$B$45&amp;": "&amp;Anmeldung!$D$45&amp;", "&amp;Anmeldung!$E$45&amp;" / "&amp;Anmeldung!$G$45&amp;" / "&amp;Anmeldung!$J$45)&lt;&gt;Anmeldung!$P$25),Anmeldung!$B$45&amp;": "&amp;Anmeldung!$D$45&amp;", "&amp;Anmeldung!$E$45&amp;" / "&amp;Anmeldung!$G$45&amp;" / "&amp;Anmeldung!$J$45,"")</f>
        <v/>
      </c>
      <c r="BG32" t="str">
        <f>IF(AND(38&lt;&gt;18,Anmeldung!$D$45&lt;&gt;"",Anmeldung!$G$45=Anmeldung!$G$25,Anmeldung!$J$45=Anmeldung!$J$25,(Anmeldung!$B$45&amp;": "&amp;Anmeldung!$D$45&amp;", "&amp;Anmeldung!$E$45&amp;" / "&amp;Anmeldung!$G$45&amp;" / "&amp;Anmeldung!$J$45)&lt;&gt;Anmeldung!$O$25),Anmeldung!$B$45&amp;": "&amp;Anmeldung!$D$45&amp;", "&amp;Anmeldung!$E$45&amp;" / "&amp;Anmeldung!$G$45&amp;" / "&amp;Anmeldung!$J$45,"")</f>
        <v/>
      </c>
      <c r="BH32" t="str">
        <f>IF(AND(38&lt;&gt;18,Anmeldung!$D$45&lt;&gt;"",Anmeldung!$G$45&lt;&gt;Anmeldung!$G$25,(Anmeldung!$B$45&amp;": "&amp;Anmeldung!$D$45&amp;", "&amp;Anmeldung!$E$45&amp;" / "&amp;Anmeldung!$G$45&amp;" / "&amp;Anmeldung!$J$45)&lt;&gt;Anmeldung!$S$25),Anmeldung!$B$45&amp;": "&amp;Anmeldung!$D$45&amp;", "&amp;Anmeldung!$E$45&amp;" / "&amp;Anmeldung!$G$45&amp;" / "&amp;Anmeldung!$J$45,"")</f>
        <v/>
      </c>
      <c r="BI32" t="str">
        <f>IF(AND(38&lt;&gt;18,Anmeldung!$D$45&lt;&gt;"",(Anmeldung!$B$45&amp;": "&amp;Anmeldung!$D$45&amp;", "&amp;Anmeldung!$E$45&amp;" / "&amp;Anmeldung!$G$45&amp;" / "&amp;Anmeldung!$J$45)&lt;&gt;Anmeldung!$R$25),Anmeldung!$B$45&amp;": "&amp;Anmeldung!$D$45&amp;", "&amp;Anmeldung!$E$45&amp;" / "&amp;Anmeldung!$G$45&amp;" / "&amp;Anmeldung!$J$45,"")</f>
        <v/>
      </c>
      <c r="BJ32" t="str">
        <f>IF(AND(37&lt;&gt;17,Anmeldung!$D$45&lt;&gt;"",Anmeldung!$U$45="Ja",Anmeldung!$G$45=Anmeldung!$G$25,Anmeldung!$J$45=Anmeldung!$J$25),Anmeldung!$B$45&amp;": "&amp;Anmeldung!$D$45&amp;", "&amp;Anmeldung!$E$45&amp;" / "&amp;Anmeldung!$G$45&amp;" / "&amp;Anmeldung!$J$45,"")</f>
        <v/>
      </c>
      <c r="BM32" t="str">
        <f>IF(AND(38&lt;&gt;19,Anmeldung!$D$45&lt;&gt;"",Anmeldung!$G$45=Anmeldung!$G$26,Anmeldung!$J$45=Anmeldung!$J$26),Anmeldung!$B$45&amp;": "&amp;Anmeldung!$D$45&amp;", "&amp;Anmeldung!$E$45&amp;" / "&amp;Anmeldung!$G$45&amp;" / "&amp;Anmeldung!$J$45,"")</f>
        <v/>
      </c>
      <c r="BN32" t="str">
        <f>IF(AND(38&lt;&gt;19,Anmeldung!$D$45&lt;&gt;"",Anmeldung!$G$45=Anmeldung!$G$26,Anmeldung!$J$45=Anmeldung!$J$26,(Anmeldung!$B$45&amp;": "&amp;Anmeldung!$D$45&amp;", "&amp;Anmeldung!$E$45&amp;" / "&amp;Anmeldung!$G$45&amp;" / "&amp;Anmeldung!$J$45)&lt;&gt;Anmeldung!$P$26),Anmeldung!$B$45&amp;": "&amp;Anmeldung!$D$45&amp;", "&amp;Anmeldung!$E$45&amp;" / "&amp;Anmeldung!$G$45&amp;" / "&amp;Anmeldung!$J$45,"")</f>
        <v/>
      </c>
      <c r="BO32" t="str">
        <f>IF(AND(38&lt;&gt;19,Anmeldung!$D$45&lt;&gt;"",Anmeldung!$G$45=Anmeldung!$G$26,Anmeldung!$J$45=Anmeldung!$J$26,(Anmeldung!$B$45&amp;": "&amp;Anmeldung!$D$45&amp;", "&amp;Anmeldung!$E$45&amp;" / "&amp;Anmeldung!$G$45&amp;" / "&amp;Anmeldung!$J$45)&lt;&gt;Anmeldung!$O$26),Anmeldung!$B$45&amp;": "&amp;Anmeldung!$D$45&amp;", "&amp;Anmeldung!$E$45&amp;" / "&amp;Anmeldung!$G$45&amp;" / "&amp;Anmeldung!$J$45,"")</f>
        <v/>
      </c>
      <c r="BP32" t="str">
        <f>IF(AND(38&lt;&gt;19,Anmeldung!$D$45&lt;&gt;"",Anmeldung!$G$45&lt;&gt;Anmeldung!$G$26,(Anmeldung!$B$45&amp;": "&amp;Anmeldung!$D$45&amp;", "&amp;Anmeldung!$E$45&amp;" / "&amp;Anmeldung!$G$45&amp;" / "&amp;Anmeldung!$J$45)&lt;&gt;Anmeldung!$S$26),Anmeldung!$B$45&amp;": "&amp;Anmeldung!$D$45&amp;", "&amp;Anmeldung!$E$45&amp;" / "&amp;Anmeldung!$G$45&amp;" / "&amp;Anmeldung!$J$45,"")</f>
        <v/>
      </c>
      <c r="BQ32" t="str">
        <f>IF(AND(38&lt;&gt;19,Anmeldung!$D$45&lt;&gt;"",(Anmeldung!$B$45&amp;": "&amp;Anmeldung!$D$45&amp;", "&amp;Anmeldung!$E$45&amp;" / "&amp;Anmeldung!$G$45&amp;" / "&amp;Anmeldung!$J$45)&lt;&gt;Anmeldung!$R$26),Anmeldung!$B$45&amp;": "&amp;Anmeldung!$D$45&amp;", "&amp;Anmeldung!$E$45&amp;" / "&amp;Anmeldung!$G$45&amp;" / "&amp;Anmeldung!$J$45,"")</f>
        <v/>
      </c>
      <c r="BR32" t="str">
        <f>IF(AND(37&lt;&gt;18,Anmeldung!$D$45&lt;&gt;"",Anmeldung!$U$45="Ja",Anmeldung!$G$45=Anmeldung!$G$26,Anmeldung!$J$45=Anmeldung!$J$26),Anmeldung!$B$45&amp;": "&amp;Anmeldung!$D$45&amp;", "&amp;Anmeldung!$E$45&amp;" / "&amp;Anmeldung!$G$45&amp;" / "&amp;Anmeldung!$J$45,"")</f>
        <v/>
      </c>
      <c r="BU32" t="str">
        <f>IF(AND(38&lt;&gt;20,Anmeldung!$D$45&lt;&gt;"",Anmeldung!$G$45=Anmeldung!$G$27,Anmeldung!$J$45=Anmeldung!$J$27),Anmeldung!$B$45&amp;": "&amp;Anmeldung!$D$45&amp;", "&amp;Anmeldung!$E$45&amp;" / "&amp;Anmeldung!$G$45&amp;" / "&amp;Anmeldung!$J$45,"")</f>
        <v/>
      </c>
      <c r="BV32" t="str">
        <f>IF(AND(38&lt;&gt;20,Anmeldung!$D$45&lt;&gt;"",Anmeldung!$G$45=Anmeldung!$G$27,Anmeldung!$J$45=Anmeldung!$J$27,(Anmeldung!$B$45&amp;": "&amp;Anmeldung!$D$45&amp;", "&amp;Anmeldung!$E$45&amp;" / "&amp;Anmeldung!$G$45&amp;" / "&amp;Anmeldung!$J$45)&lt;&gt;Anmeldung!$P$27),Anmeldung!$B$45&amp;": "&amp;Anmeldung!$D$45&amp;", "&amp;Anmeldung!$E$45&amp;" / "&amp;Anmeldung!$G$45&amp;" / "&amp;Anmeldung!$J$45,"")</f>
        <v/>
      </c>
      <c r="BW32" t="str">
        <f>IF(AND(38&lt;&gt;20,Anmeldung!$D$45&lt;&gt;"",Anmeldung!$G$45=Anmeldung!$G$27,Anmeldung!$J$45=Anmeldung!$J$27,(Anmeldung!$B$45&amp;": "&amp;Anmeldung!$D$45&amp;", "&amp;Anmeldung!$E$45&amp;" / "&amp;Anmeldung!$G$45&amp;" / "&amp;Anmeldung!$J$45)&lt;&gt;Anmeldung!$O$27),Anmeldung!$B$45&amp;": "&amp;Anmeldung!$D$45&amp;", "&amp;Anmeldung!$E$45&amp;" / "&amp;Anmeldung!$G$45&amp;" / "&amp;Anmeldung!$J$45,"")</f>
        <v/>
      </c>
      <c r="BX32" t="str">
        <f>IF(AND(38&lt;&gt;20,Anmeldung!$D$45&lt;&gt;"",Anmeldung!$G$45&lt;&gt;Anmeldung!$G$27,(Anmeldung!$B$45&amp;": "&amp;Anmeldung!$D$45&amp;", "&amp;Anmeldung!$E$45&amp;" / "&amp;Anmeldung!$G$45&amp;" / "&amp;Anmeldung!$J$45)&lt;&gt;Anmeldung!$S$27),Anmeldung!$B$45&amp;": "&amp;Anmeldung!$D$45&amp;", "&amp;Anmeldung!$E$45&amp;" / "&amp;Anmeldung!$G$45&amp;" / "&amp;Anmeldung!$J$45,"")</f>
        <v/>
      </c>
      <c r="BY32" t="str">
        <f>IF(AND(38&lt;&gt;20,Anmeldung!$D$45&lt;&gt;"",(Anmeldung!$B$45&amp;": "&amp;Anmeldung!$D$45&amp;", "&amp;Anmeldung!$E$45&amp;" / "&amp;Anmeldung!$G$45&amp;" / "&amp;Anmeldung!$J$45)&lt;&gt;Anmeldung!$R$27),Anmeldung!$B$45&amp;": "&amp;Anmeldung!$D$45&amp;", "&amp;Anmeldung!$E$45&amp;" / "&amp;Anmeldung!$G$45&amp;" / "&amp;Anmeldung!$J$45,"")</f>
        <v/>
      </c>
      <c r="BZ32" t="str">
        <f>IF(AND(37&lt;&gt;19,Anmeldung!$D$45&lt;&gt;"",Anmeldung!$U$45="Ja",Anmeldung!$G$45=Anmeldung!$G$27,Anmeldung!$J$45=Anmeldung!$J$27),Anmeldung!$B$45&amp;": "&amp;Anmeldung!$D$45&amp;", "&amp;Anmeldung!$E$45&amp;" / "&amp;Anmeldung!$G$45&amp;" / "&amp;Anmeldung!$J$45,"")</f>
        <v/>
      </c>
      <c r="CC32" t="str">
        <f>IF(AND(38&lt;&gt;21,Anmeldung!$D$45&lt;&gt;"",Anmeldung!$G$45=Anmeldung!$G$28,Anmeldung!$J$45=Anmeldung!$J$28),Anmeldung!$B$45&amp;": "&amp;Anmeldung!$D$45&amp;", "&amp;Anmeldung!$E$45&amp;" / "&amp;Anmeldung!$G$45&amp;" / "&amp;Anmeldung!$J$45,"")</f>
        <v/>
      </c>
      <c r="CD32" t="str">
        <f>IF(AND(38&lt;&gt;21,Anmeldung!$D$45&lt;&gt;"",Anmeldung!$G$45=Anmeldung!$G$28,Anmeldung!$J$45=Anmeldung!$J$28,(Anmeldung!$B$45&amp;": "&amp;Anmeldung!$D$45&amp;", "&amp;Anmeldung!$E$45&amp;" / "&amp;Anmeldung!$G$45&amp;" / "&amp;Anmeldung!$J$45)&lt;&gt;Anmeldung!$P$28),Anmeldung!$B$45&amp;": "&amp;Anmeldung!$D$45&amp;", "&amp;Anmeldung!$E$45&amp;" / "&amp;Anmeldung!$G$45&amp;" / "&amp;Anmeldung!$J$45,"")</f>
        <v/>
      </c>
      <c r="CE32" t="str">
        <f>IF(AND(38&lt;&gt;21,Anmeldung!$D$45&lt;&gt;"",Anmeldung!$G$45=Anmeldung!$G$28,Anmeldung!$J$45=Anmeldung!$J$28,(Anmeldung!$B$45&amp;": "&amp;Anmeldung!$D$45&amp;", "&amp;Anmeldung!$E$45&amp;" / "&amp;Anmeldung!$G$45&amp;" / "&amp;Anmeldung!$J$45)&lt;&gt;Anmeldung!$O$28),Anmeldung!$B$45&amp;": "&amp;Anmeldung!$D$45&amp;", "&amp;Anmeldung!$E$45&amp;" / "&amp;Anmeldung!$G$45&amp;" / "&amp;Anmeldung!$J$45,"")</f>
        <v/>
      </c>
      <c r="CF32" t="str">
        <f>IF(AND(38&lt;&gt;21,Anmeldung!$D$45&lt;&gt;"",Anmeldung!$G$45&lt;&gt;Anmeldung!$G$28,(Anmeldung!$B$45&amp;": "&amp;Anmeldung!$D$45&amp;", "&amp;Anmeldung!$E$45&amp;" / "&amp;Anmeldung!$G$45&amp;" / "&amp;Anmeldung!$J$45)&lt;&gt;Anmeldung!$S$28),Anmeldung!$B$45&amp;": "&amp;Anmeldung!$D$45&amp;", "&amp;Anmeldung!$E$45&amp;" / "&amp;Anmeldung!$G$45&amp;" / "&amp;Anmeldung!$J$45,"")</f>
        <v/>
      </c>
      <c r="CG32" t="str">
        <f>IF(AND(38&lt;&gt;21,Anmeldung!$D$45&lt;&gt;"",(Anmeldung!$B$45&amp;": "&amp;Anmeldung!$D$45&amp;", "&amp;Anmeldung!$E$45&amp;" / "&amp;Anmeldung!$G$45&amp;" / "&amp;Anmeldung!$J$45)&lt;&gt;Anmeldung!$R$28),Anmeldung!$B$45&amp;": "&amp;Anmeldung!$D$45&amp;", "&amp;Anmeldung!$E$45&amp;" / "&amp;Anmeldung!$G$45&amp;" / "&amp;Anmeldung!$J$45,"")</f>
        <v/>
      </c>
      <c r="CH32" t="str">
        <f>IF(AND(37&lt;&gt;20,Anmeldung!$D$45&lt;&gt;"",Anmeldung!$U$45="Ja",Anmeldung!$G$45=Anmeldung!$G$28,Anmeldung!$J$45=Anmeldung!$J$28),Anmeldung!$B$45&amp;": "&amp;Anmeldung!$D$45&amp;", "&amp;Anmeldung!$E$45&amp;" / "&amp;Anmeldung!$G$45&amp;" / "&amp;Anmeldung!$J$45,"")</f>
        <v/>
      </c>
      <c r="CK32" t="str">
        <f>IF(AND(38&lt;&gt;22,Anmeldung!$D$45&lt;&gt;"",Anmeldung!$G$45=Anmeldung!$G$29,Anmeldung!$J$45=Anmeldung!$J$29),Anmeldung!$B$45&amp;": "&amp;Anmeldung!$D$45&amp;", "&amp;Anmeldung!$E$45&amp;" / "&amp;Anmeldung!$G$45&amp;" / "&amp;Anmeldung!$J$45,"")</f>
        <v/>
      </c>
      <c r="CL32" t="str">
        <f>IF(AND(38&lt;&gt;22,Anmeldung!$D$45&lt;&gt;"",Anmeldung!$G$45=Anmeldung!$G$29,Anmeldung!$J$45=Anmeldung!$J$29,(Anmeldung!$B$45&amp;": "&amp;Anmeldung!$D$45&amp;", "&amp;Anmeldung!$E$45&amp;" / "&amp;Anmeldung!$G$45&amp;" / "&amp;Anmeldung!$J$45)&lt;&gt;Anmeldung!$P$29),Anmeldung!$B$45&amp;": "&amp;Anmeldung!$D$45&amp;", "&amp;Anmeldung!$E$45&amp;" / "&amp;Anmeldung!$G$45&amp;" / "&amp;Anmeldung!$J$45,"")</f>
        <v/>
      </c>
      <c r="CM32" t="str">
        <f>IF(AND(38&lt;&gt;22,Anmeldung!$D$45&lt;&gt;"",Anmeldung!$G$45=Anmeldung!$G$29,Anmeldung!$J$45=Anmeldung!$J$29,(Anmeldung!$B$45&amp;": "&amp;Anmeldung!$D$45&amp;", "&amp;Anmeldung!$E$45&amp;" / "&amp;Anmeldung!$G$45&amp;" / "&amp;Anmeldung!$J$45)&lt;&gt;Anmeldung!$O$29),Anmeldung!$B$45&amp;": "&amp;Anmeldung!$D$45&amp;", "&amp;Anmeldung!$E$45&amp;" / "&amp;Anmeldung!$G$45&amp;" / "&amp;Anmeldung!$J$45,"")</f>
        <v/>
      </c>
      <c r="CN32" t="str">
        <f>IF(AND(38&lt;&gt;22,Anmeldung!$D$45&lt;&gt;"",Anmeldung!$G$45&lt;&gt;Anmeldung!$G$29,(Anmeldung!$B$45&amp;": "&amp;Anmeldung!$D$45&amp;", "&amp;Anmeldung!$E$45&amp;" / "&amp;Anmeldung!$G$45&amp;" / "&amp;Anmeldung!$J$45)&lt;&gt;Anmeldung!$S$29),Anmeldung!$B$45&amp;": "&amp;Anmeldung!$D$45&amp;", "&amp;Anmeldung!$E$45&amp;" / "&amp;Anmeldung!$G$45&amp;" / "&amp;Anmeldung!$J$45,"")</f>
        <v/>
      </c>
      <c r="CO32" t="str">
        <f>IF(AND(38&lt;&gt;22,Anmeldung!$D$45&lt;&gt;"",(Anmeldung!$B$45&amp;": "&amp;Anmeldung!$D$45&amp;", "&amp;Anmeldung!$E$45&amp;" / "&amp;Anmeldung!$G$45&amp;" / "&amp;Anmeldung!$J$45)&lt;&gt;Anmeldung!$R$29),Anmeldung!$B$45&amp;": "&amp;Anmeldung!$D$45&amp;", "&amp;Anmeldung!$E$45&amp;" / "&amp;Anmeldung!$G$45&amp;" / "&amp;Anmeldung!$J$45,"")</f>
        <v/>
      </c>
      <c r="CP32" t="str">
        <f>IF(AND(37&lt;&gt;21,Anmeldung!$D$45&lt;&gt;"",Anmeldung!$U$45="Ja",Anmeldung!$G$45=Anmeldung!$G$29,Anmeldung!$J$45=Anmeldung!$J$29),Anmeldung!$B$45&amp;": "&amp;Anmeldung!$D$45&amp;", "&amp;Anmeldung!$E$45&amp;" / "&amp;Anmeldung!$G$45&amp;" / "&amp;Anmeldung!$J$45,"")</f>
        <v/>
      </c>
      <c r="CS32" t="str">
        <f>IF(AND(38&lt;&gt;23,Anmeldung!$D$45&lt;&gt;"",Anmeldung!$G$45=Anmeldung!$G$30,Anmeldung!$J$45=Anmeldung!$J$30),Anmeldung!$B$45&amp;": "&amp;Anmeldung!$D$45&amp;", "&amp;Anmeldung!$E$45&amp;" / "&amp;Anmeldung!$G$45&amp;" / "&amp;Anmeldung!$J$45,"")</f>
        <v/>
      </c>
      <c r="CT32" t="str">
        <f>IF(AND(38&lt;&gt;23,Anmeldung!$D$45&lt;&gt;"",Anmeldung!$G$45=Anmeldung!$G$30,Anmeldung!$J$45=Anmeldung!$J$30,(Anmeldung!$B$45&amp;": "&amp;Anmeldung!$D$45&amp;", "&amp;Anmeldung!$E$45&amp;" / "&amp;Anmeldung!$G$45&amp;" / "&amp;Anmeldung!$J$45)&lt;&gt;Anmeldung!$P$30),Anmeldung!$B$45&amp;": "&amp;Anmeldung!$D$45&amp;", "&amp;Anmeldung!$E$45&amp;" / "&amp;Anmeldung!$G$45&amp;" / "&amp;Anmeldung!$J$45,"")</f>
        <v/>
      </c>
      <c r="CU32" t="str">
        <f>IF(AND(38&lt;&gt;23,Anmeldung!$D$45&lt;&gt;"",Anmeldung!$G$45=Anmeldung!$G$30,Anmeldung!$J$45=Anmeldung!$J$30,(Anmeldung!$B$45&amp;": "&amp;Anmeldung!$D$45&amp;", "&amp;Anmeldung!$E$45&amp;" / "&amp;Anmeldung!$G$45&amp;" / "&amp;Anmeldung!$J$45)&lt;&gt;Anmeldung!$O$30),Anmeldung!$B$45&amp;": "&amp;Anmeldung!$D$45&amp;", "&amp;Anmeldung!$E$45&amp;" / "&amp;Anmeldung!$G$45&amp;" / "&amp;Anmeldung!$J$45,"")</f>
        <v/>
      </c>
      <c r="CV32" t="str">
        <f>IF(AND(38&lt;&gt;23,Anmeldung!$D$45&lt;&gt;"",Anmeldung!$G$45&lt;&gt;Anmeldung!$G$30,(Anmeldung!$B$45&amp;": "&amp;Anmeldung!$D$45&amp;", "&amp;Anmeldung!$E$45&amp;" / "&amp;Anmeldung!$G$45&amp;" / "&amp;Anmeldung!$J$45)&lt;&gt;Anmeldung!$S$30),Anmeldung!$B$45&amp;": "&amp;Anmeldung!$D$45&amp;", "&amp;Anmeldung!$E$45&amp;" / "&amp;Anmeldung!$G$45&amp;" / "&amp;Anmeldung!$J$45,"")</f>
        <v/>
      </c>
      <c r="CW32" t="str">
        <f>IF(AND(38&lt;&gt;23,Anmeldung!$D$45&lt;&gt;"",(Anmeldung!$B$45&amp;": "&amp;Anmeldung!$D$45&amp;", "&amp;Anmeldung!$E$45&amp;" / "&amp;Anmeldung!$G$45&amp;" / "&amp;Anmeldung!$J$45)&lt;&gt;Anmeldung!$R$30),Anmeldung!$B$45&amp;": "&amp;Anmeldung!$D$45&amp;", "&amp;Anmeldung!$E$45&amp;" / "&amp;Anmeldung!$G$45&amp;" / "&amp;Anmeldung!$J$45,"")</f>
        <v/>
      </c>
      <c r="CX32" t="str">
        <f>IF(AND(37&lt;&gt;22,Anmeldung!$D$45&lt;&gt;"",Anmeldung!$U$45="Ja",Anmeldung!$G$45=Anmeldung!$G$30,Anmeldung!$J$45=Anmeldung!$J$30),Anmeldung!$B$45&amp;": "&amp;Anmeldung!$D$45&amp;", "&amp;Anmeldung!$E$45&amp;" / "&amp;Anmeldung!$G$45&amp;" / "&amp;Anmeldung!$J$45,"")</f>
        <v/>
      </c>
      <c r="DA32" t="str">
        <f>IF(AND(38&lt;&gt;24,Anmeldung!$D$45&lt;&gt;"",Anmeldung!$G$45=Anmeldung!$G$31,Anmeldung!$J$45=Anmeldung!$J$31),Anmeldung!$B$45&amp;": "&amp;Anmeldung!$D$45&amp;", "&amp;Anmeldung!$E$45&amp;" / "&amp;Anmeldung!$G$45&amp;" / "&amp;Anmeldung!$J$45,"")</f>
        <v/>
      </c>
      <c r="DB32" t="str">
        <f>IF(AND(38&lt;&gt;24,Anmeldung!$D$45&lt;&gt;"",Anmeldung!$G$45=Anmeldung!$G$31,Anmeldung!$J$45=Anmeldung!$J$31,(Anmeldung!$B$45&amp;": "&amp;Anmeldung!$D$45&amp;", "&amp;Anmeldung!$E$45&amp;" / "&amp;Anmeldung!$G$45&amp;" / "&amp;Anmeldung!$J$45)&lt;&gt;Anmeldung!$P$31),Anmeldung!$B$45&amp;": "&amp;Anmeldung!$D$45&amp;", "&amp;Anmeldung!$E$45&amp;" / "&amp;Anmeldung!$G$45&amp;" / "&amp;Anmeldung!$J$45,"")</f>
        <v/>
      </c>
      <c r="DC32" t="str">
        <f>IF(AND(38&lt;&gt;24,Anmeldung!$D$45&lt;&gt;"",Anmeldung!$G$45=Anmeldung!$G$31,Anmeldung!$J$45=Anmeldung!$J$31,(Anmeldung!$B$45&amp;": "&amp;Anmeldung!$D$45&amp;", "&amp;Anmeldung!$E$45&amp;" / "&amp;Anmeldung!$G$45&amp;" / "&amp;Anmeldung!$J$45)&lt;&gt;Anmeldung!$O$31),Anmeldung!$B$45&amp;": "&amp;Anmeldung!$D$45&amp;", "&amp;Anmeldung!$E$45&amp;" / "&amp;Anmeldung!$G$45&amp;" / "&amp;Anmeldung!$J$45,"")</f>
        <v/>
      </c>
      <c r="DD32" t="str">
        <f>IF(AND(38&lt;&gt;24,Anmeldung!$D$45&lt;&gt;"",Anmeldung!$G$45&lt;&gt;Anmeldung!$G$31,(Anmeldung!$B$45&amp;": "&amp;Anmeldung!$D$45&amp;", "&amp;Anmeldung!$E$45&amp;" / "&amp;Anmeldung!$G$45&amp;" / "&amp;Anmeldung!$J$45)&lt;&gt;Anmeldung!$S$31),Anmeldung!$B$45&amp;": "&amp;Anmeldung!$D$45&amp;", "&amp;Anmeldung!$E$45&amp;" / "&amp;Anmeldung!$G$45&amp;" / "&amp;Anmeldung!$J$45,"")</f>
        <v/>
      </c>
      <c r="DE32" t="str">
        <f>IF(AND(38&lt;&gt;24,Anmeldung!$D$45&lt;&gt;"",(Anmeldung!$B$45&amp;": "&amp;Anmeldung!$D$45&amp;", "&amp;Anmeldung!$E$45&amp;" / "&amp;Anmeldung!$G$45&amp;" / "&amp;Anmeldung!$J$45)&lt;&gt;Anmeldung!$R$31),Anmeldung!$B$45&amp;": "&amp;Anmeldung!$D$45&amp;", "&amp;Anmeldung!$E$45&amp;" / "&amp;Anmeldung!$G$45&amp;" / "&amp;Anmeldung!$J$45,"")</f>
        <v/>
      </c>
      <c r="DF32" t="str">
        <f>IF(AND(37&lt;&gt;23,Anmeldung!$D$45&lt;&gt;"",Anmeldung!$U$45="Ja",Anmeldung!$G$45=Anmeldung!$G$31,Anmeldung!$J$45=Anmeldung!$J$31),Anmeldung!$B$45&amp;": "&amp;Anmeldung!$D$45&amp;", "&amp;Anmeldung!$E$45&amp;" / "&amp;Anmeldung!$G$45&amp;" / "&amp;Anmeldung!$J$45,"")</f>
        <v/>
      </c>
      <c r="DI32" t="str">
        <f>IF(AND(38&lt;&gt;25,Anmeldung!$D$45&lt;&gt;"",Anmeldung!$G$45=Anmeldung!$G$32,Anmeldung!$J$45=Anmeldung!$J$32),Anmeldung!$B$45&amp;": "&amp;Anmeldung!$D$45&amp;", "&amp;Anmeldung!$E$45&amp;" / "&amp;Anmeldung!$G$45&amp;" / "&amp;Anmeldung!$J$45,"")</f>
        <v/>
      </c>
      <c r="DJ32" t="str">
        <f>IF(AND(38&lt;&gt;25,Anmeldung!$D$45&lt;&gt;"",Anmeldung!$G$45=Anmeldung!$G$32,Anmeldung!$J$45=Anmeldung!$J$32,(Anmeldung!$B$45&amp;": "&amp;Anmeldung!$D$45&amp;", "&amp;Anmeldung!$E$45&amp;" / "&amp;Anmeldung!$G$45&amp;" / "&amp;Anmeldung!$J$45)&lt;&gt;Anmeldung!$P$32),Anmeldung!$B$45&amp;": "&amp;Anmeldung!$D$45&amp;", "&amp;Anmeldung!$E$45&amp;" / "&amp;Anmeldung!$G$45&amp;" / "&amp;Anmeldung!$J$45,"")</f>
        <v/>
      </c>
      <c r="DK32" t="str">
        <f>IF(AND(38&lt;&gt;25,Anmeldung!$D$45&lt;&gt;"",Anmeldung!$G$45=Anmeldung!$G$32,Anmeldung!$J$45=Anmeldung!$J$32,(Anmeldung!$B$45&amp;": "&amp;Anmeldung!$D$45&amp;", "&amp;Anmeldung!$E$45&amp;" / "&amp;Anmeldung!$G$45&amp;" / "&amp;Anmeldung!$J$45)&lt;&gt;Anmeldung!$O$32),Anmeldung!$B$45&amp;": "&amp;Anmeldung!$D$45&amp;", "&amp;Anmeldung!$E$45&amp;" / "&amp;Anmeldung!$G$45&amp;" / "&amp;Anmeldung!$J$45,"")</f>
        <v/>
      </c>
      <c r="DL32" t="str">
        <f>IF(AND(38&lt;&gt;25,Anmeldung!$D$45&lt;&gt;"",Anmeldung!$G$45&lt;&gt;Anmeldung!$G$32,(Anmeldung!$B$45&amp;": "&amp;Anmeldung!$D$45&amp;", "&amp;Anmeldung!$E$45&amp;" / "&amp;Anmeldung!$G$45&amp;" / "&amp;Anmeldung!$J$45)&lt;&gt;Anmeldung!$S$32),Anmeldung!$B$45&amp;": "&amp;Anmeldung!$D$45&amp;", "&amp;Anmeldung!$E$45&amp;" / "&amp;Anmeldung!$G$45&amp;" / "&amp;Anmeldung!$J$45,"")</f>
        <v/>
      </c>
      <c r="DM32" t="str">
        <f>IF(AND(38&lt;&gt;25,Anmeldung!$D$45&lt;&gt;"",(Anmeldung!$B$45&amp;": "&amp;Anmeldung!$D$45&amp;", "&amp;Anmeldung!$E$45&amp;" / "&amp;Anmeldung!$G$45&amp;" / "&amp;Anmeldung!$J$45)&lt;&gt;Anmeldung!$R$32),Anmeldung!$B$45&amp;": "&amp;Anmeldung!$D$45&amp;", "&amp;Anmeldung!$E$45&amp;" / "&amp;Anmeldung!$G$45&amp;" / "&amp;Anmeldung!$J$45,"")</f>
        <v/>
      </c>
      <c r="DN32" t="str">
        <f>IF(AND(37&lt;&gt;24,Anmeldung!$D$45&lt;&gt;"",Anmeldung!$U$45="Ja",Anmeldung!$G$45=Anmeldung!$G$32,Anmeldung!$J$45=Anmeldung!$J$32),Anmeldung!$B$45&amp;": "&amp;Anmeldung!$D$45&amp;", "&amp;Anmeldung!$E$45&amp;" / "&amp;Anmeldung!$G$45&amp;" / "&amp;Anmeldung!$J$45,"")</f>
        <v/>
      </c>
      <c r="DQ32" t="str">
        <f>IF(AND(38&lt;&gt;26,Anmeldung!$D$45&lt;&gt;"",Anmeldung!$G$45=Anmeldung!$G$33,Anmeldung!$J$45=Anmeldung!$J$33),Anmeldung!$B$45&amp;": "&amp;Anmeldung!$D$45&amp;", "&amp;Anmeldung!$E$45&amp;" / "&amp;Anmeldung!$G$45&amp;" / "&amp;Anmeldung!$J$45,"")</f>
        <v/>
      </c>
      <c r="DR32" t="str">
        <f>IF(AND(38&lt;&gt;26,Anmeldung!$D$45&lt;&gt;"",Anmeldung!$G$45=Anmeldung!$G$33,Anmeldung!$J$45=Anmeldung!$J$33,(Anmeldung!$B$45&amp;": "&amp;Anmeldung!$D$45&amp;", "&amp;Anmeldung!$E$45&amp;" / "&amp;Anmeldung!$G$45&amp;" / "&amp;Anmeldung!$J$45)&lt;&gt;Anmeldung!$P$33),Anmeldung!$B$45&amp;": "&amp;Anmeldung!$D$45&amp;", "&amp;Anmeldung!$E$45&amp;" / "&amp;Anmeldung!$G$45&amp;" / "&amp;Anmeldung!$J$45,"")</f>
        <v/>
      </c>
      <c r="DS32" t="str">
        <f>IF(AND(38&lt;&gt;26,Anmeldung!$D$45&lt;&gt;"",Anmeldung!$G$45=Anmeldung!$G$33,Anmeldung!$J$45=Anmeldung!$J$33,(Anmeldung!$B$45&amp;": "&amp;Anmeldung!$D$45&amp;", "&amp;Anmeldung!$E$45&amp;" / "&amp;Anmeldung!$G$45&amp;" / "&amp;Anmeldung!$J$45)&lt;&gt;Anmeldung!$O$33),Anmeldung!$B$45&amp;": "&amp;Anmeldung!$D$45&amp;", "&amp;Anmeldung!$E$45&amp;" / "&amp;Anmeldung!$G$45&amp;" / "&amp;Anmeldung!$J$45,"")</f>
        <v/>
      </c>
      <c r="DT32" t="str">
        <f>IF(AND(38&lt;&gt;26,Anmeldung!$D$45&lt;&gt;"",Anmeldung!$G$45&lt;&gt;Anmeldung!$G$33,(Anmeldung!$B$45&amp;": "&amp;Anmeldung!$D$45&amp;", "&amp;Anmeldung!$E$45&amp;" / "&amp;Anmeldung!$G$45&amp;" / "&amp;Anmeldung!$J$45)&lt;&gt;Anmeldung!$S$33),Anmeldung!$B$45&amp;": "&amp;Anmeldung!$D$45&amp;", "&amp;Anmeldung!$E$45&amp;" / "&amp;Anmeldung!$G$45&amp;" / "&amp;Anmeldung!$J$45,"")</f>
        <v/>
      </c>
      <c r="DU32" t="str">
        <f>IF(AND(38&lt;&gt;26,Anmeldung!$D$45&lt;&gt;"",(Anmeldung!$B$45&amp;": "&amp;Anmeldung!$D$45&amp;", "&amp;Anmeldung!$E$45&amp;" / "&amp;Anmeldung!$G$45&amp;" / "&amp;Anmeldung!$J$45)&lt;&gt;Anmeldung!$R$33),Anmeldung!$B$45&amp;": "&amp;Anmeldung!$D$45&amp;", "&amp;Anmeldung!$E$45&amp;" / "&amp;Anmeldung!$G$45&amp;" / "&amp;Anmeldung!$J$45,"")</f>
        <v/>
      </c>
      <c r="DV32" t="str">
        <f>IF(AND(37&lt;&gt;25,Anmeldung!$D$45&lt;&gt;"",Anmeldung!$U$45="Ja",Anmeldung!$G$45=Anmeldung!$G$33,Anmeldung!$J$45=Anmeldung!$J$33),Anmeldung!$B$45&amp;": "&amp;Anmeldung!$D$45&amp;", "&amp;Anmeldung!$E$45&amp;" / "&amp;Anmeldung!$G$45&amp;" / "&amp;Anmeldung!$J$45,"")</f>
        <v/>
      </c>
      <c r="DY32" t="str">
        <f>IF(AND(38&lt;&gt;27,Anmeldung!$D$45&lt;&gt;"",Anmeldung!$G$45=Anmeldung!$G$34,Anmeldung!$J$45=Anmeldung!$J$34),Anmeldung!$B$45&amp;": "&amp;Anmeldung!$D$45&amp;", "&amp;Anmeldung!$E$45&amp;" / "&amp;Anmeldung!$G$45&amp;" / "&amp;Anmeldung!$J$45,"")</f>
        <v/>
      </c>
      <c r="DZ32" t="str">
        <f>IF(AND(38&lt;&gt;27,Anmeldung!$D$45&lt;&gt;"",Anmeldung!$G$45=Anmeldung!$G$34,Anmeldung!$J$45=Anmeldung!$J$34,(Anmeldung!$B$45&amp;": "&amp;Anmeldung!$D$45&amp;", "&amp;Anmeldung!$E$45&amp;" / "&amp;Anmeldung!$G$45&amp;" / "&amp;Anmeldung!$J$45)&lt;&gt;Anmeldung!$P$34),Anmeldung!$B$45&amp;": "&amp;Anmeldung!$D$45&amp;", "&amp;Anmeldung!$E$45&amp;" / "&amp;Anmeldung!$G$45&amp;" / "&amp;Anmeldung!$J$45,"")</f>
        <v/>
      </c>
      <c r="EA32" t="str">
        <f>IF(AND(38&lt;&gt;27,Anmeldung!$D$45&lt;&gt;"",Anmeldung!$G$45=Anmeldung!$G$34,Anmeldung!$J$45=Anmeldung!$J$34,(Anmeldung!$B$45&amp;": "&amp;Anmeldung!$D$45&amp;", "&amp;Anmeldung!$E$45&amp;" / "&amp;Anmeldung!$G$45&amp;" / "&amp;Anmeldung!$J$45)&lt;&gt;Anmeldung!$O$34),Anmeldung!$B$45&amp;": "&amp;Anmeldung!$D$45&amp;", "&amp;Anmeldung!$E$45&amp;" / "&amp;Anmeldung!$G$45&amp;" / "&amp;Anmeldung!$J$45,"")</f>
        <v/>
      </c>
      <c r="EB32" t="str">
        <f>IF(AND(38&lt;&gt;27,Anmeldung!$D$45&lt;&gt;"",Anmeldung!$G$45&lt;&gt;Anmeldung!$G$34,(Anmeldung!$B$45&amp;": "&amp;Anmeldung!$D$45&amp;", "&amp;Anmeldung!$E$45&amp;" / "&amp;Anmeldung!$G$45&amp;" / "&amp;Anmeldung!$J$45)&lt;&gt;Anmeldung!$S$34),Anmeldung!$B$45&amp;": "&amp;Anmeldung!$D$45&amp;", "&amp;Anmeldung!$E$45&amp;" / "&amp;Anmeldung!$G$45&amp;" / "&amp;Anmeldung!$J$45,"")</f>
        <v/>
      </c>
      <c r="EC32" t="str">
        <f>IF(AND(38&lt;&gt;27,Anmeldung!$D$45&lt;&gt;"",(Anmeldung!$B$45&amp;": "&amp;Anmeldung!$D$45&amp;", "&amp;Anmeldung!$E$45&amp;" / "&amp;Anmeldung!$G$45&amp;" / "&amp;Anmeldung!$J$45)&lt;&gt;Anmeldung!$R$34),Anmeldung!$B$45&amp;": "&amp;Anmeldung!$D$45&amp;", "&amp;Anmeldung!$E$45&amp;" / "&amp;Anmeldung!$G$45&amp;" / "&amp;Anmeldung!$J$45,"")</f>
        <v/>
      </c>
      <c r="ED32" t="str">
        <f>IF(AND(37&lt;&gt;26,Anmeldung!$D$45&lt;&gt;"",Anmeldung!$U$45="Ja",Anmeldung!$G$45=Anmeldung!$G$34,Anmeldung!$J$45=Anmeldung!$J$34),Anmeldung!$B$45&amp;": "&amp;Anmeldung!$D$45&amp;", "&amp;Anmeldung!$E$45&amp;" / "&amp;Anmeldung!$G$45&amp;" / "&amp;Anmeldung!$J$45,"")</f>
        <v/>
      </c>
      <c r="EG32" t="str">
        <f>IF(AND(38&lt;&gt;28,Anmeldung!$D$45&lt;&gt;"",Anmeldung!$G$45=Anmeldung!$G$35,Anmeldung!$J$45=Anmeldung!$J$35),Anmeldung!$B$45&amp;": "&amp;Anmeldung!$D$45&amp;", "&amp;Anmeldung!$E$45&amp;" / "&amp;Anmeldung!$G$45&amp;" / "&amp;Anmeldung!$J$45,"")</f>
        <v/>
      </c>
      <c r="EH32" t="str">
        <f>IF(AND(38&lt;&gt;28,Anmeldung!$D$45&lt;&gt;"",Anmeldung!$G$45=Anmeldung!$G$35,Anmeldung!$J$45=Anmeldung!$J$35,(Anmeldung!$B$45&amp;": "&amp;Anmeldung!$D$45&amp;", "&amp;Anmeldung!$E$45&amp;" / "&amp;Anmeldung!$G$45&amp;" / "&amp;Anmeldung!$J$45)&lt;&gt;Anmeldung!$P$35),Anmeldung!$B$45&amp;": "&amp;Anmeldung!$D$45&amp;", "&amp;Anmeldung!$E$45&amp;" / "&amp;Anmeldung!$G$45&amp;" / "&amp;Anmeldung!$J$45,"")</f>
        <v/>
      </c>
      <c r="EI32" t="str">
        <f>IF(AND(38&lt;&gt;28,Anmeldung!$D$45&lt;&gt;"",Anmeldung!$G$45=Anmeldung!$G$35,Anmeldung!$J$45=Anmeldung!$J$35,(Anmeldung!$B$45&amp;": "&amp;Anmeldung!$D$45&amp;", "&amp;Anmeldung!$E$45&amp;" / "&amp;Anmeldung!$G$45&amp;" / "&amp;Anmeldung!$J$45)&lt;&gt;Anmeldung!$O$35),Anmeldung!$B$45&amp;": "&amp;Anmeldung!$D$45&amp;", "&amp;Anmeldung!$E$45&amp;" / "&amp;Anmeldung!$G$45&amp;" / "&amp;Anmeldung!$J$45,"")</f>
        <v/>
      </c>
      <c r="EJ32" t="str">
        <f>IF(AND(38&lt;&gt;28,Anmeldung!$D$45&lt;&gt;"",Anmeldung!$G$45&lt;&gt;Anmeldung!$G$35,(Anmeldung!$B$45&amp;": "&amp;Anmeldung!$D$45&amp;", "&amp;Anmeldung!$E$45&amp;" / "&amp;Anmeldung!$G$45&amp;" / "&amp;Anmeldung!$J$45)&lt;&gt;Anmeldung!$S$35),Anmeldung!$B$45&amp;": "&amp;Anmeldung!$D$45&amp;", "&amp;Anmeldung!$E$45&amp;" / "&amp;Anmeldung!$G$45&amp;" / "&amp;Anmeldung!$J$45,"")</f>
        <v/>
      </c>
      <c r="EK32" t="str">
        <f>IF(AND(38&lt;&gt;28,Anmeldung!$D$45&lt;&gt;"",(Anmeldung!$B$45&amp;": "&amp;Anmeldung!$D$45&amp;", "&amp;Anmeldung!$E$45&amp;" / "&amp;Anmeldung!$G$45&amp;" / "&amp;Anmeldung!$J$45)&lt;&gt;Anmeldung!$R$35),Anmeldung!$B$45&amp;": "&amp;Anmeldung!$D$45&amp;", "&amp;Anmeldung!$E$45&amp;" / "&amp;Anmeldung!$G$45&amp;" / "&amp;Anmeldung!$J$45,"")</f>
        <v/>
      </c>
      <c r="EL32" t="str">
        <f>IF(AND(37&lt;&gt;27,Anmeldung!$D$45&lt;&gt;"",Anmeldung!$U$45="Ja",Anmeldung!$G$45=Anmeldung!$G$35,Anmeldung!$J$45=Anmeldung!$J$35),Anmeldung!$B$45&amp;": "&amp;Anmeldung!$D$45&amp;", "&amp;Anmeldung!$E$45&amp;" / "&amp;Anmeldung!$G$45&amp;" / "&amp;Anmeldung!$J$45,"")</f>
        <v/>
      </c>
      <c r="EO32" t="str">
        <f>IF(AND(38&lt;&gt;29,Anmeldung!$D$45&lt;&gt;"",Anmeldung!$G$45=Anmeldung!$G$36,Anmeldung!$J$45=Anmeldung!$J$36),Anmeldung!$B$45&amp;": "&amp;Anmeldung!$D$45&amp;", "&amp;Anmeldung!$E$45&amp;" / "&amp;Anmeldung!$G$45&amp;" / "&amp;Anmeldung!$J$45,"")</f>
        <v/>
      </c>
      <c r="EP32" t="str">
        <f>IF(AND(38&lt;&gt;29,Anmeldung!$D$45&lt;&gt;"",Anmeldung!$G$45=Anmeldung!$G$36,Anmeldung!$J$45=Anmeldung!$J$36,(Anmeldung!$B$45&amp;": "&amp;Anmeldung!$D$45&amp;", "&amp;Anmeldung!$E$45&amp;" / "&amp;Anmeldung!$G$45&amp;" / "&amp;Anmeldung!$J$45)&lt;&gt;Anmeldung!$P$36),Anmeldung!$B$45&amp;": "&amp;Anmeldung!$D$45&amp;", "&amp;Anmeldung!$E$45&amp;" / "&amp;Anmeldung!$G$45&amp;" / "&amp;Anmeldung!$J$45,"")</f>
        <v/>
      </c>
      <c r="EQ32" t="str">
        <f>IF(AND(38&lt;&gt;29,Anmeldung!$D$45&lt;&gt;"",Anmeldung!$G$45=Anmeldung!$G$36,Anmeldung!$J$45=Anmeldung!$J$36,(Anmeldung!$B$45&amp;": "&amp;Anmeldung!$D$45&amp;", "&amp;Anmeldung!$E$45&amp;" / "&amp;Anmeldung!$G$45&amp;" / "&amp;Anmeldung!$J$45)&lt;&gt;Anmeldung!$O$36),Anmeldung!$B$45&amp;": "&amp;Anmeldung!$D$45&amp;", "&amp;Anmeldung!$E$45&amp;" / "&amp;Anmeldung!$G$45&amp;" / "&amp;Anmeldung!$J$45,"")</f>
        <v/>
      </c>
      <c r="ER32" t="str">
        <f>IF(AND(38&lt;&gt;29,Anmeldung!$D$45&lt;&gt;"",Anmeldung!$G$45&lt;&gt;Anmeldung!$G$36,(Anmeldung!$B$45&amp;": "&amp;Anmeldung!$D$45&amp;", "&amp;Anmeldung!$E$45&amp;" / "&amp;Anmeldung!$G$45&amp;" / "&amp;Anmeldung!$J$45)&lt;&gt;Anmeldung!$S$36),Anmeldung!$B$45&amp;": "&amp;Anmeldung!$D$45&amp;", "&amp;Anmeldung!$E$45&amp;" / "&amp;Anmeldung!$G$45&amp;" / "&amp;Anmeldung!$J$45,"")</f>
        <v/>
      </c>
      <c r="ES32" t="str">
        <f>IF(AND(38&lt;&gt;29,Anmeldung!$D$45&lt;&gt;"",(Anmeldung!$B$45&amp;": "&amp;Anmeldung!$D$45&amp;", "&amp;Anmeldung!$E$45&amp;" / "&amp;Anmeldung!$G$45&amp;" / "&amp;Anmeldung!$J$45)&lt;&gt;Anmeldung!$R$36),Anmeldung!$B$45&amp;": "&amp;Anmeldung!$D$45&amp;", "&amp;Anmeldung!$E$45&amp;" / "&amp;Anmeldung!$G$45&amp;" / "&amp;Anmeldung!$J$45,"")</f>
        <v/>
      </c>
      <c r="ET32" t="str">
        <f>IF(AND(37&lt;&gt;28,Anmeldung!$D$45&lt;&gt;"",Anmeldung!$U$45="Ja",Anmeldung!$G$45=Anmeldung!$G$36,Anmeldung!$J$45=Anmeldung!$J$36),Anmeldung!$B$45&amp;": "&amp;Anmeldung!$D$45&amp;", "&amp;Anmeldung!$E$45&amp;" / "&amp;Anmeldung!$G$45&amp;" / "&amp;Anmeldung!$J$45,"")</f>
        <v/>
      </c>
      <c r="EW32" t="str">
        <f>IF(AND(38&lt;&gt;30,Anmeldung!$D$45&lt;&gt;"",Anmeldung!$G$45=Anmeldung!$G$37,Anmeldung!$J$45=Anmeldung!$J$37),Anmeldung!$B$45&amp;": "&amp;Anmeldung!$D$45&amp;", "&amp;Anmeldung!$E$45&amp;" / "&amp;Anmeldung!$G$45&amp;" / "&amp;Anmeldung!$J$45,"")</f>
        <v/>
      </c>
      <c r="EX32" t="str">
        <f>IF(AND(38&lt;&gt;30,Anmeldung!$D$45&lt;&gt;"",Anmeldung!$G$45=Anmeldung!$G$37,Anmeldung!$J$45=Anmeldung!$J$37,(Anmeldung!$B$45&amp;": "&amp;Anmeldung!$D$45&amp;", "&amp;Anmeldung!$E$45&amp;" / "&amp;Anmeldung!$G$45&amp;" / "&amp;Anmeldung!$J$45)&lt;&gt;Anmeldung!$P$37),Anmeldung!$B$45&amp;": "&amp;Anmeldung!$D$45&amp;", "&amp;Anmeldung!$E$45&amp;" / "&amp;Anmeldung!$G$45&amp;" / "&amp;Anmeldung!$J$45,"")</f>
        <v/>
      </c>
      <c r="EY32" t="str">
        <f>IF(AND(38&lt;&gt;30,Anmeldung!$D$45&lt;&gt;"",Anmeldung!$G$45=Anmeldung!$G$37,Anmeldung!$J$45=Anmeldung!$J$37,(Anmeldung!$B$45&amp;": "&amp;Anmeldung!$D$45&amp;", "&amp;Anmeldung!$E$45&amp;" / "&amp;Anmeldung!$G$45&amp;" / "&amp;Anmeldung!$J$45)&lt;&gt;Anmeldung!$O$37),Anmeldung!$B$45&amp;": "&amp;Anmeldung!$D$45&amp;", "&amp;Anmeldung!$E$45&amp;" / "&amp;Anmeldung!$G$45&amp;" / "&amp;Anmeldung!$J$45,"")</f>
        <v/>
      </c>
      <c r="EZ32" t="str">
        <f>IF(AND(38&lt;&gt;30,Anmeldung!$D$45&lt;&gt;"",Anmeldung!$G$45&lt;&gt;Anmeldung!$G$37,(Anmeldung!$B$45&amp;": "&amp;Anmeldung!$D$45&amp;", "&amp;Anmeldung!$E$45&amp;" / "&amp;Anmeldung!$G$45&amp;" / "&amp;Anmeldung!$J$45)&lt;&gt;Anmeldung!$S$37),Anmeldung!$B$45&amp;": "&amp;Anmeldung!$D$45&amp;", "&amp;Anmeldung!$E$45&amp;" / "&amp;Anmeldung!$G$45&amp;" / "&amp;Anmeldung!$J$45,"")</f>
        <v/>
      </c>
      <c r="FA32" t="str">
        <f>IF(AND(38&lt;&gt;30,Anmeldung!$D$45&lt;&gt;"",(Anmeldung!$B$45&amp;": "&amp;Anmeldung!$D$45&amp;", "&amp;Anmeldung!$E$45&amp;" / "&amp;Anmeldung!$G$45&amp;" / "&amp;Anmeldung!$J$45)&lt;&gt;Anmeldung!$R$37),Anmeldung!$B$45&amp;": "&amp;Anmeldung!$D$45&amp;", "&amp;Anmeldung!$E$45&amp;" / "&amp;Anmeldung!$G$45&amp;" / "&amp;Anmeldung!$J$45,"")</f>
        <v/>
      </c>
      <c r="FB32" t="str">
        <f>IF(AND(37&lt;&gt;29,Anmeldung!$D$45&lt;&gt;"",Anmeldung!$U$45="Ja",Anmeldung!$G$45=Anmeldung!$G$37,Anmeldung!$J$45=Anmeldung!$J$37),Anmeldung!$B$45&amp;": "&amp;Anmeldung!$D$45&amp;", "&amp;Anmeldung!$E$45&amp;" / "&amp;Anmeldung!$G$45&amp;" / "&amp;Anmeldung!$J$45,"")</f>
        <v/>
      </c>
      <c r="FE32" t="str">
        <f>IF(AND(38&lt;&gt;31,Anmeldung!$D$45&lt;&gt;"",Anmeldung!$G$45=Anmeldung!$G$38,Anmeldung!$J$45=Anmeldung!$J$38),Anmeldung!$B$45&amp;": "&amp;Anmeldung!$D$45&amp;", "&amp;Anmeldung!$E$45&amp;" / "&amp;Anmeldung!$G$45&amp;" / "&amp;Anmeldung!$J$45,"")</f>
        <v/>
      </c>
      <c r="FF32" t="str">
        <f>IF(AND(38&lt;&gt;31,Anmeldung!$D$45&lt;&gt;"",Anmeldung!$G$45=Anmeldung!$G$38,Anmeldung!$J$45=Anmeldung!$J$38,(Anmeldung!$B$45&amp;": "&amp;Anmeldung!$D$45&amp;", "&amp;Anmeldung!$E$45&amp;" / "&amp;Anmeldung!$G$45&amp;" / "&amp;Anmeldung!$J$45)&lt;&gt;Anmeldung!$P$38),Anmeldung!$B$45&amp;": "&amp;Anmeldung!$D$45&amp;", "&amp;Anmeldung!$E$45&amp;" / "&amp;Anmeldung!$G$45&amp;" / "&amp;Anmeldung!$J$45,"")</f>
        <v/>
      </c>
      <c r="FG32" t="str">
        <f>IF(AND(38&lt;&gt;31,Anmeldung!$D$45&lt;&gt;"",Anmeldung!$G$45=Anmeldung!$G$38,Anmeldung!$J$45=Anmeldung!$J$38,(Anmeldung!$B$45&amp;": "&amp;Anmeldung!$D$45&amp;", "&amp;Anmeldung!$E$45&amp;" / "&amp;Anmeldung!$G$45&amp;" / "&amp;Anmeldung!$J$45)&lt;&gt;Anmeldung!$O$38),Anmeldung!$B$45&amp;": "&amp;Anmeldung!$D$45&amp;", "&amp;Anmeldung!$E$45&amp;" / "&amp;Anmeldung!$G$45&amp;" / "&amp;Anmeldung!$J$45,"")</f>
        <v/>
      </c>
      <c r="FH32" t="str">
        <f>IF(AND(38&lt;&gt;31,Anmeldung!$D$45&lt;&gt;"",Anmeldung!$G$45&lt;&gt;Anmeldung!$G$38,(Anmeldung!$B$45&amp;": "&amp;Anmeldung!$D$45&amp;", "&amp;Anmeldung!$E$45&amp;" / "&amp;Anmeldung!$G$45&amp;" / "&amp;Anmeldung!$J$45)&lt;&gt;Anmeldung!$S$38),Anmeldung!$B$45&amp;": "&amp;Anmeldung!$D$45&amp;", "&amp;Anmeldung!$E$45&amp;" / "&amp;Anmeldung!$G$45&amp;" / "&amp;Anmeldung!$J$45,"")</f>
        <v/>
      </c>
      <c r="FI32" t="str">
        <f>IF(AND(38&lt;&gt;31,Anmeldung!$D$45&lt;&gt;"",(Anmeldung!$B$45&amp;": "&amp;Anmeldung!$D$45&amp;", "&amp;Anmeldung!$E$45&amp;" / "&amp;Anmeldung!$G$45&amp;" / "&amp;Anmeldung!$J$45)&lt;&gt;Anmeldung!$R$38),Anmeldung!$B$45&amp;": "&amp;Anmeldung!$D$45&amp;", "&amp;Anmeldung!$E$45&amp;" / "&amp;Anmeldung!$G$45&amp;" / "&amp;Anmeldung!$J$45,"")</f>
        <v/>
      </c>
      <c r="FJ32" t="str">
        <f>IF(AND(37&lt;&gt;30,Anmeldung!$D$45&lt;&gt;"",Anmeldung!$U$45="Ja",Anmeldung!$G$45=Anmeldung!$G$38,Anmeldung!$J$45=Anmeldung!$J$38),Anmeldung!$B$45&amp;": "&amp;Anmeldung!$D$45&amp;", "&amp;Anmeldung!$E$45&amp;" / "&amp;Anmeldung!$G$45&amp;" / "&amp;Anmeldung!$J$45,"")</f>
        <v/>
      </c>
      <c r="FM32" t="str">
        <f>IF(AND(38&lt;&gt;32,Anmeldung!$D$45&lt;&gt;"",Anmeldung!$G$45=Anmeldung!$G$39,Anmeldung!$J$45=Anmeldung!$J$39),Anmeldung!$B$45&amp;": "&amp;Anmeldung!$D$45&amp;", "&amp;Anmeldung!$E$45&amp;" / "&amp;Anmeldung!$G$45&amp;" / "&amp;Anmeldung!$J$45,"")</f>
        <v/>
      </c>
      <c r="FN32" t="str">
        <f>IF(AND(38&lt;&gt;32,Anmeldung!$D$45&lt;&gt;"",Anmeldung!$G$45=Anmeldung!$G$39,Anmeldung!$J$45=Anmeldung!$J$39,(Anmeldung!$B$45&amp;": "&amp;Anmeldung!$D$45&amp;", "&amp;Anmeldung!$E$45&amp;" / "&amp;Anmeldung!$G$45&amp;" / "&amp;Anmeldung!$J$45)&lt;&gt;Anmeldung!$P$39),Anmeldung!$B$45&amp;": "&amp;Anmeldung!$D$45&amp;", "&amp;Anmeldung!$E$45&amp;" / "&amp;Anmeldung!$G$45&amp;" / "&amp;Anmeldung!$J$45,"")</f>
        <v/>
      </c>
      <c r="FO32" t="str">
        <f>IF(AND(38&lt;&gt;32,Anmeldung!$D$45&lt;&gt;"",Anmeldung!$G$45=Anmeldung!$G$39,Anmeldung!$J$45=Anmeldung!$J$39,(Anmeldung!$B$45&amp;": "&amp;Anmeldung!$D$45&amp;", "&amp;Anmeldung!$E$45&amp;" / "&amp;Anmeldung!$G$45&amp;" / "&amp;Anmeldung!$J$45)&lt;&gt;Anmeldung!$O$39),Anmeldung!$B$45&amp;": "&amp;Anmeldung!$D$45&amp;", "&amp;Anmeldung!$E$45&amp;" / "&amp;Anmeldung!$G$45&amp;" / "&amp;Anmeldung!$J$45,"")</f>
        <v/>
      </c>
      <c r="FP32" t="str">
        <f>IF(AND(38&lt;&gt;32,Anmeldung!$D$45&lt;&gt;"",Anmeldung!$G$45&lt;&gt;Anmeldung!$G$39,(Anmeldung!$B$45&amp;": "&amp;Anmeldung!$D$45&amp;", "&amp;Anmeldung!$E$45&amp;" / "&amp;Anmeldung!$G$45&amp;" / "&amp;Anmeldung!$J$45)&lt;&gt;Anmeldung!$S$39),Anmeldung!$B$45&amp;": "&amp;Anmeldung!$D$45&amp;", "&amp;Anmeldung!$E$45&amp;" / "&amp;Anmeldung!$G$45&amp;" / "&amp;Anmeldung!$J$45,"")</f>
        <v/>
      </c>
      <c r="FQ32" t="str">
        <f>IF(AND(38&lt;&gt;32,Anmeldung!$D$45&lt;&gt;"",(Anmeldung!$B$45&amp;": "&amp;Anmeldung!$D$45&amp;", "&amp;Anmeldung!$E$45&amp;" / "&amp;Anmeldung!$G$45&amp;" / "&amp;Anmeldung!$J$45)&lt;&gt;Anmeldung!$R$39),Anmeldung!$B$45&amp;": "&amp;Anmeldung!$D$45&amp;", "&amp;Anmeldung!$E$45&amp;" / "&amp;Anmeldung!$G$45&amp;" / "&amp;Anmeldung!$J$45,"")</f>
        <v/>
      </c>
      <c r="FR32" t="str">
        <f>IF(AND(37&lt;&gt;31,Anmeldung!$D$45&lt;&gt;"",Anmeldung!$U$45="Ja",Anmeldung!$G$45=Anmeldung!$G$39,Anmeldung!$J$45=Anmeldung!$J$39),Anmeldung!$B$45&amp;": "&amp;Anmeldung!$D$45&amp;", "&amp;Anmeldung!$E$45&amp;" / "&amp;Anmeldung!$G$45&amp;" / "&amp;Anmeldung!$J$45,"")</f>
        <v/>
      </c>
      <c r="FU32" t="str">
        <f>IF(AND(38&lt;&gt;33,Anmeldung!$D$45&lt;&gt;"",Anmeldung!$G$45=Anmeldung!$G$40,Anmeldung!$J$45=Anmeldung!$J$40),Anmeldung!$B$45&amp;": "&amp;Anmeldung!$D$45&amp;", "&amp;Anmeldung!$E$45&amp;" / "&amp;Anmeldung!$G$45&amp;" / "&amp;Anmeldung!$J$45,"")</f>
        <v/>
      </c>
      <c r="FV32" t="str">
        <f>IF(AND(38&lt;&gt;33,Anmeldung!$D$45&lt;&gt;"",Anmeldung!$G$45=Anmeldung!$G$40,Anmeldung!$J$45=Anmeldung!$J$40,(Anmeldung!$B$45&amp;": "&amp;Anmeldung!$D$45&amp;", "&amp;Anmeldung!$E$45&amp;" / "&amp;Anmeldung!$G$45&amp;" / "&amp;Anmeldung!$J$45)&lt;&gt;Anmeldung!$P$40),Anmeldung!$B$45&amp;": "&amp;Anmeldung!$D$45&amp;", "&amp;Anmeldung!$E$45&amp;" / "&amp;Anmeldung!$G$45&amp;" / "&amp;Anmeldung!$J$45,"")</f>
        <v/>
      </c>
      <c r="FW32" t="str">
        <f>IF(AND(38&lt;&gt;33,Anmeldung!$D$45&lt;&gt;"",Anmeldung!$G$45=Anmeldung!$G$40,Anmeldung!$J$45=Anmeldung!$J$40,(Anmeldung!$B$45&amp;": "&amp;Anmeldung!$D$45&amp;", "&amp;Anmeldung!$E$45&amp;" / "&amp;Anmeldung!$G$45&amp;" / "&amp;Anmeldung!$J$45)&lt;&gt;Anmeldung!$O$40),Anmeldung!$B$45&amp;": "&amp;Anmeldung!$D$45&amp;", "&amp;Anmeldung!$E$45&amp;" / "&amp;Anmeldung!$G$45&amp;" / "&amp;Anmeldung!$J$45,"")</f>
        <v/>
      </c>
      <c r="FX32" t="str">
        <f>IF(AND(38&lt;&gt;33,Anmeldung!$D$45&lt;&gt;"",Anmeldung!$G$45&lt;&gt;Anmeldung!$G$40,(Anmeldung!$B$45&amp;": "&amp;Anmeldung!$D$45&amp;", "&amp;Anmeldung!$E$45&amp;" / "&amp;Anmeldung!$G$45&amp;" / "&amp;Anmeldung!$J$45)&lt;&gt;Anmeldung!$S$40),Anmeldung!$B$45&amp;": "&amp;Anmeldung!$D$45&amp;", "&amp;Anmeldung!$E$45&amp;" / "&amp;Anmeldung!$G$45&amp;" / "&amp;Anmeldung!$J$45,"")</f>
        <v/>
      </c>
      <c r="FY32" t="str">
        <f>IF(AND(38&lt;&gt;33,Anmeldung!$D$45&lt;&gt;"",(Anmeldung!$B$45&amp;": "&amp;Anmeldung!$D$45&amp;", "&amp;Anmeldung!$E$45&amp;" / "&amp;Anmeldung!$G$45&amp;" / "&amp;Anmeldung!$J$45)&lt;&gt;Anmeldung!$R$40),Anmeldung!$B$45&amp;": "&amp;Anmeldung!$D$45&amp;", "&amp;Anmeldung!$E$45&amp;" / "&amp;Anmeldung!$G$45&amp;" / "&amp;Anmeldung!$J$45,"")</f>
        <v/>
      </c>
      <c r="FZ32" t="str">
        <f>IF(AND(37&lt;&gt;32,Anmeldung!$D$45&lt;&gt;"",Anmeldung!$U$45="Ja",Anmeldung!$G$45=Anmeldung!$G$40,Anmeldung!$J$45=Anmeldung!$J$40),Anmeldung!$B$45&amp;": "&amp;Anmeldung!$D$45&amp;", "&amp;Anmeldung!$E$45&amp;" / "&amp;Anmeldung!$G$45&amp;" / "&amp;Anmeldung!$J$45,"")</f>
        <v/>
      </c>
      <c r="GC32" t="str">
        <f>IF(AND(38&lt;&gt;34,Anmeldung!$D$45&lt;&gt;"",Anmeldung!$G$45=Anmeldung!$G$41,Anmeldung!$J$45=Anmeldung!$J$41),Anmeldung!$B$45&amp;": "&amp;Anmeldung!$D$45&amp;", "&amp;Anmeldung!$E$45&amp;" / "&amp;Anmeldung!$G$45&amp;" / "&amp;Anmeldung!$J$45,"")</f>
        <v/>
      </c>
      <c r="GD32" t="str">
        <f>IF(AND(38&lt;&gt;34,Anmeldung!$D$45&lt;&gt;"",Anmeldung!$G$45=Anmeldung!$G$41,Anmeldung!$J$45=Anmeldung!$J$41,(Anmeldung!$B$45&amp;": "&amp;Anmeldung!$D$45&amp;", "&amp;Anmeldung!$E$45&amp;" / "&amp;Anmeldung!$G$45&amp;" / "&amp;Anmeldung!$J$45)&lt;&gt;Anmeldung!$P$41),Anmeldung!$B$45&amp;": "&amp;Anmeldung!$D$45&amp;", "&amp;Anmeldung!$E$45&amp;" / "&amp;Anmeldung!$G$45&amp;" / "&amp;Anmeldung!$J$45,"")</f>
        <v/>
      </c>
      <c r="GE32" t="str">
        <f>IF(AND(38&lt;&gt;34,Anmeldung!$D$45&lt;&gt;"",Anmeldung!$G$45=Anmeldung!$G$41,Anmeldung!$J$45=Anmeldung!$J$41,(Anmeldung!$B$45&amp;": "&amp;Anmeldung!$D$45&amp;", "&amp;Anmeldung!$E$45&amp;" / "&amp;Anmeldung!$G$45&amp;" / "&amp;Anmeldung!$J$45)&lt;&gt;Anmeldung!$O$41),Anmeldung!$B$45&amp;": "&amp;Anmeldung!$D$45&amp;", "&amp;Anmeldung!$E$45&amp;" / "&amp;Anmeldung!$G$45&amp;" / "&amp;Anmeldung!$J$45,"")</f>
        <v/>
      </c>
      <c r="GF32" t="str">
        <f>IF(AND(38&lt;&gt;34,Anmeldung!$D$45&lt;&gt;"",Anmeldung!$G$45&lt;&gt;Anmeldung!$G$41,(Anmeldung!$B$45&amp;": "&amp;Anmeldung!$D$45&amp;", "&amp;Anmeldung!$E$45&amp;" / "&amp;Anmeldung!$G$45&amp;" / "&amp;Anmeldung!$J$45)&lt;&gt;Anmeldung!$S$41),Anmeldung!$B$45&amp;": "&amp;Anmeldung!$D$45&amp;", "&amp;Anmeldung!$E$45&amp;" / "&amp;Anmeldung!$G$45&amp;" / "&amp;Anmeldung!$J$45,"")</f>
        <v/>
      </c>
      <c r="GG32" t="str">
        <f>IF(AND(38&lt;&gt;34,Anmeldung!$D$45&lt;&gt;"",(Anmeldung!$B$45&amp;": "&amp;Anmeldung!$D$45&amp;", "&amp;Anmeldung!$E$45&amp;" / "&amp;Anmeldung!$G$45&amp;" / "&amp;Anmeldung!$J$45)&lt;&gt;Anmeldung!$R$41),Anmeldung!$B$45&amp;": "&amp;Anmeldung!$D$45&amp;", "&amp;Anmeldung!$E$45&amp;" / "&amp;Anmeldung!$G$45&amp;" / "&amp;Anmeldung!$J$45,"")</f>
        <v/>
      </c>
      <c r="GH32" t="str">
        <f>IF(AND(37&lt;&gt;33,Anmeldung!$D$45&lt;&gt;"",Anmeldung!$U$45="Ja",Anmeldung!$G$45=Anmeldung!$G$41,Anmeldung!$J$45=Anmeldung!$J$41),Anmeldung!$B$45&amp;": "&amp;Anmeldung!$D$45&amp;", "&amp;Anmeldung!$E$45&amp;" / "&amp;Anmeldung!$G$45&amp;" / "&amp;Anmeldung!$J$45,"")</f>
        <v/>
      </c>
      <c r="GK32" t="str">
        <f>IF(AND(38&lt;&gt;35,Anmeldung!$D$45&lt;&gt;"",Anmeldung!$G$45=Anmeldung!$G$42,Anmeldung!$J$45=Anmeldung!$J$42),Anmeldung!$B$45&amp;": "&amp;Anmeldung!$D$45&amp;", "&amp;Anmeldung!$E$45&amp;" / "&amp;Anmeldung!$G$45&amp;" / "&amp;Anmeldung!$J$45,"")</f>
        <v/>
      </c>
      <c r="GL32" t="str">
        <f>IF(AND(38&lt;&gt;35,Anmeldung!$D$45&lt;&gt;"",Anmeldung!$G$45=Anmeldung!$G$42,Anmeldung!$J$45=Anmeldung!$J$42,(Anmeldung!$B$45&amp;": "&amp;Anmeldung!$D$45&amp;", "&amp;Anmeldung!$E$45&amp;" / "&amp;Anmeldung!$G$45&amp;" / "&amp;Anmeldung!$J$45)&lt;&gt;Anmeldung!$P$42),Anmeldung!$B$45&amp;": "&amp;Anmeldung!$D$45&amp;", "&amp;Anmeldung!$E$45&amp;" / "&amp;Anmeldung!$G$45&amp;" / "&amp;Anmeldung!$J$45,"")</f>
        <v/>
      </c>
      <c r="GM32" t="str">
        <f>IF(AND(38&lt;&gt;35,Anmeldung!$D$45&lt;&gt;"",Anmeldung!$G$45=Anmeldung!$G$42,Anmeldung!$J$45=Anmeldung!$J$42,(Anmeldung!$B$45&amp;": "&amp;Anmeldung!$D$45&amp;", "&amp;Anmeldung!$E$45&amp;" / "&amp;Anmeldung!$G$45&amp;" / "&amp;Anmeldung!$J$45)&lt;&gt;Anmeldung!$O$42),Anmeldung!$B$45&amp;": "&amp;Anmeldung!$D$45&amp;", "&amp;Anmeldung!$E$45&amp;" / "&amp;Anmeldung!$G$45&amp;" / "&amp;Anmeldung!$J$45,"")</f>
        <v/>
      </c>
      <c r="GN32" t="str">
        <f>IF(AND(38&lt;&gt;35,Anmeldung!$D$45&lt;&gt;"",Anmeldung!$G$45&lt;&gt;Anmeldung!$G$42,(Anmeldung!$B$45&amp;": "&amp;Anmeldung!$D$45&amp;", "&amp;Anmeldung!$E$45&amp;" / "&amp;Anmeldung!$G$45&amp;" / "&amp;Anmeldung!$J$45)&lt;&gt;Anmeldung!$S$42),Anmeldung!$B$45&amp;": "&amp;Anmeldung!$D$45&amp;", "&amp;Anmeldung!$E$45&amp;" / "&amp;Anmeldung!$G$45&amp;" / "&amp;Anmeldung!$J$45,"")</f>
        <v/>
      </c>
      <c r="GO32" t="str">
        <f>IF(AND(38&lt;&gt;35,Anmeldung!$D$45&lt;&gt;"",(Anmeldung!$B$45&amp;": "&amp;Anmeldung!$D$45&amp;", "&amp;Anmeldung!$E$45&amp;" / "&amp;Anmeldung!$G$45&amp;" / "&amp;Anmeldung!$J$45)&lt;&gt;Anmeldung!$R$42),Anmeldung!$B$45&amp;": "&amp;Anmeldung!$D$45&amp;", "&amp;Anmeldung!$E$45&amp;" / "&amp;Anmeldung!$G$45&amp;" / "&amp;Anmeldung!$J$45,"")</f>
        <v/>
      </c>
      <c r="GP32" t="str">
        <f>IF(AND(37&lt;&gt;34,Anmeldung!$D$45&lt;&gt;"",Anmeldung!$U$45="Ja",Anmeldung!$G$45=Anmeldung!$G$42,Anmeldung!$J$45=Anmeldung!$J$42),Anmeldung!$B$45&amp;": "&amp;Anmeldung!$D$45&amp;", "&amp;Anmeldung!$E$45&amp;" / "&amp;Anmeldung!$G$45&amp;" / "&amp;Anmeldung!$J$45,"")</f>
        <v/>
      </c>
      <c r="GS32" t="str">
        <f>IF(AND(38&lt;&gt;36,Anmeldung!$D$45&lt;&gt;"",Anmeldung!$G$45=Anmeldung!$G$43,Anmeldung!$J$45=Anmeldung!$J$43),Anmeldung!$B$45&amp;": "&amp;Anmeldung!$D$45&amp;", "&amp;Anmeldung!$E$45&amp;" / "&amp;Anmeldung!$G$45&amp;" / "&amp;Anmeldung!$J$45,"")</f>
        <v/>
      </c>
      <c r="GT32" t="str">
        <f>IF(AND(38&lt;&gt;36,Anmeldung!$D$45&lt;&gt;"",Anmeldung!$G$45=Anmeldung!$G$43,Anmeldung!$J$45=Anmeldung!$J$43,(Anmeldung!$B$45&amp;": "&amp;Anmeldung!$D$45&amp;", "&amp;Anmeldung!$E$45&amp;" / "&amp;Anmeldung!$G$45&amp;" / "&amp;Anmeldung!$J$45)&lt;&gt;Anmeldung!$P$43),Anmeldung!$B$45&amp;": "&amp;Anmeldung!$D$45&amp;", "&amp;Anmeldung!$E$45&amp;" / "&amp;Anmeldung!$G$45&amp;" / "&amp;Anmeldung!$J$45,"")</f>
        <v/>
      </c>
      <c r="GU32" t="str">
        <f>IF(AND(38&lt;&gt;36,Anmeldung!$D$45&lt;&gt;"",Anmeldung!$G$45=Anmeldung!$G$43,Anmeldung!$J$45=Anmeldung!$J$43,(Anmeldung!$B$45&amp;": "&amp;Anmeldung!$D$45&amp;", "&amp;Anmeldung!$E$45&amp;" / "&amp;Anmeldung!$G$45&amp;" / "&amp;Anmeldung!$J$45)&lt;&gt;Anmeldung!$O$43),Anmeldung!$B$45&amp;": "&amp;Anmeldung!$D$45&amp;", "&amp;Anmeldung!$E$45&amp;" / "&amp;Anmeldung!$G$45&amp;" / "&amp;Anmeldung!$J$45,"")</f>
        <v/>
      </c>
      <c r="GV32" t="str">
        <f>IF(AND(38&lt;&gt;36,Anmeldung!$D$45&lt;&gt;"",Anmeldung!$G$45&lt;&gt;Anmeldung!$G$43,(Anmeldung!$B$45&amp;": "&amp;Anmeldung!$D$45&amp;", "&amp;Anmeldung!$E$45&amp;" / "&amp;Anmeldung!$G$45&amp;" / "&amp;Anmeldung!$J$45)&lt;&gt;Anmeldung!$S$43),Anmeldung!$B$45&amp;": "&amp;Anmeldung!$D$45&amp;", "&amp;Anmeldung!$E$45&amp;" / "&amp;Anmeldung!$G$45&amp;" / "&amp;Anmeldung!$J$45,"")</f>
        <v/>
      </c>
      <c r="GW32" t="str">
        <f>IF(AND(38&lt;&gt;36,Anmeldung!$D$45&lt;&gt;"",(Anmeldung!$B$45&amp;": "&amp;Anmeldung!$D$45&amp;", "&amp;Anmeldung!$E$45&amp;" / "&amp;Anmeldung!$G$45&amp;" / "&amp;Anmeldung!$J$45)&lt;&gt;Anmeldung!$R$43),Anmeldung!$B$45&amp;": "&amp;Anmeldung!$D$45&amp;", "&amp;Anmeldung!$E$45&amp;" / "&amp;Anmeldung!$G$45&amp;" / "&amp;Anmeldung!$J$45,"")</f>
        <v/>
      </c>
      <c r="GX32" t="str">
        <f>IF(AND(37&lt;&gt;35,Anmeldung!$D$45&lt;&gt;"",Anmeldung!$U$45="Ja",Anmeldung!$G$45=Anmeldung!$G$43,Anmeldung!$J$45=Anmeldung!$J$43),Anmeldung!$B$45&amp;": "&amp;Anmeldung!$D$45&amp;", "&amp;Anmeldung!$E$45&amp;" / "&amp;Anmeldung!$G$45&amp;" / "&amp;Anmeldung!$J$45,"")</f>
        <v/>
      </c>
      <c r="HA32" t="str">
        <f>IF(AND(38&lt;&gt;37,Anmeldung!$D$45&lt;&gt;"",Anmeldung!$G$45=Anmeldung!$G$44,Anmeldung!$J$45=Anmeldung!$J$44),Anmeldung!$B$45&amp;": "&amp;Anmeldung!$D$45&amp;", "&amp;Anmeldung!$E$45&amp;" / "&amp;Anmeldung!$G$45&amp;" / "&amp;Anmeldung!$J$45,"")</f>
        <v/>
      </c>
      <c r="HB32" t="str">
        <f>IF(AND(38&lt;&gt;37,Anmeldung!$D$45&lt;&gt;"",Anmeldung!$G$45=Anmeldung!$G$44,Anmeldung!$J$45=Anmeldung!$J$44,(Anmeldung!$B$45&amp;": "&amp;Anmeldung!$D$45&amp;", "&amp;Anmeldung!$E$45&amp;" / "&amp;Anmeldung!$G$45&amp;" / "&amp;Anmeldung!$J$45)&lt;&gt;Anmeldung!$P$44),Anmeldung!$B$45&amp;": "&amp;Anmeldung!$D$45&amp;", "&amp;Anmeldung!$E$45&amp;" / "&amp;Anmeldung!$G$45&amp;" / "&amp;Anmeldung!$J$45,"")</f>
        <v/>
      </c>
      <c r="HC32" t="str">
        <f>IF(AND(38&lt;&gt;37,Anmeldung!$D$45&lt;&gt;"",Anmeldung!$G$45=Anmeldung!$G$44,Anmeldung!$J$45=Anmeldung!$J$44,(Anmeldung!$B$45&amp;": "&amp;Anmeldung!$D$45&amp;", "&amp;Anmeldung!$E$45&amp;" / "&amp;Anmeldung!$G$45&amp;" / "&amp;Anmeldung!$J$45)&lt;&gt;Anmeldung!$O$44),Anmeldung!$B$45&amp;": "&amp;Anmeldung!$D$45&amp;", "&amp;Anmeldung!$E$45&amp;" / "&amp;Anmeldung!$G$45&amp;" / "&amp;Anmeldung!$J$45,"")</f>
        <v/>
      </c>
      <c r="HD32" t="str">
        <f>IF(AND(38&lt;&gt;37,Anmeldung!$D$45&lt;&gt;"",Anmeldung!$G$45&lt;&gt;Anmeldung!$G$44,(Anmeldung!$B$45&amp;": "&amp;Anmeldung!$D$45&amp;", "&amp;Anmeldung!$E$45&amp;" / "&amp;Anmeldung!$G$45&amp;" / "&amp;Anmeldung!$J$45)&lt;&gt;Anmeldung!$S$44),Anmeldung!$B$45&amp;": "&amp;Anmeldung!$D$45&amp;", "&amp;Anmeldung!$E$45&amp;" / "&amp;Anmeldung!$G$45&amp;" / "&amp;Anmeldung!$J$45,"")</f>
        <v/>
      </c>
      <c r="HE32" t="str">
        <f>IF(AND(38&lt;&gt;37,Anmeldung!$D$45&lt;&gt;"",(Anmeldung!$B$45&amp;": "&amp;Anmeldung!$D$45&amp;", "&amp;Anmeldung!$E$45&amp;" / "&amp;Anmeldung!$G$45&amp;" / "&amp;Anmeldung!$J$45)&lt;&gt;Anmeldung!$R$44),Anmeldung!$B$45&amp;": "&amp;Anmeldung!$D$45&amp;", "&amp;Anmeldung!$E$45&amp;" / "&amp;Anmeldung!$G$45&amp;" / "&amp;Anmeldung!$J$45,"")</f>
        <v/>
      </c>
      <c r="HF32" t="str">
        <f>IF(AND(37&lt;&gt;36,Anmeldung!$D$45&lt;&gt;"",Anmeldung!$U$45="Ja",Anmeldung!$G$45=Anmeldung!$G$44,Anmeldung!$J$45=Anmeldung!$J$44),Anmeldung!$B$45&amp;": "&amp;Anmeldung!$D$45&amp;", "&amp;Anmeldung!$E$45&amp;" / "&amp;Anmeldung!$G$45&amp;" / "&amp;Anmeldung!$J$45,"")</f>
        <v/>
      </c>
      <c r="HI32" t="str">
        <f>IF(AND(38&lt;&gt;38,Anmeldung!$D$45&lt;&gt;"",Anmeldung!$G$45=Anmeldung!$G$45,Anmeldung!$J$45=Anmeldung!$J$45),Anmeldung!$B$45&amp;": "&amp;Anmeldung!$D$45&amp;", "&amp;Anmeldung!$E$45&amp;" / "&amp;Anmeldung!$G$45&amp;" / "&amp;Anmeldung!$J$45,"")</f>
        <v/>
      </c>
      <c r="HJ32" t="str">
        <f>IF(AND(38&lt;&gt;38,Anmeldung!$D$45&lt;&gt;"",Anmeldung!$G$45=Anmeldung!$G$45,Anmeldung!$J$45=Anmeldung!$J$45,(Anmeldung!$B$45&amp;": "&amp;Anmeldung!$D$45&amp;", "&amp;Anmeldung!$E$45&amp;" / "&amp;Anmeldung!$G$45&amp;" / "&amp;Anmeldung!$J$45)&lt;&gt;Anmeldung!$P$45),Anmeldung!$B$45&amp;": "&amp;Anmeldung!$D$45&amp;", "&amp;Anmeldung!$E$45&amp;" / "&amp;Anmeldung!$G$45&amp;" / "&amp;Anmeldung!$J$45,"")</f>
        <v/>
      </c>
      <c r="HK32" t="str">
        <f>IF(AND(38&lt;&gt;38,Anmeldung!$D$45&lt;&gt;"",Anmeldung!$G$45=Anmeldung!$G$45,Anmeldung!$J$45=Anmeldung!$J$45,(Anmeldung!$B$45&amp;": "&amp;Anmeldung!$D$45&amp;", "&amp;Anmeldung!$E$45&amp;" / "&amp;Anmeldung!$G$45&amp;" / "&amp;Anmeldung!$J$45)&lt;&gt;Anmeldung!$O$45),Anmeldung!$B$45&amp;": "&amp;Anmeldung!$D$45&amp;", "&amp;Anmeldung!$E$45&amp;" / "&amp;Anmeldung!$G$45&amp;" / "&amp;Anmeldung!$J$45,"")</f>
        <v/>
      </c>
      <c r="HL32" t="str">
        <f>IF(AND(38&lt;&gt;38,Anmeldung!$D$45&lt;&gt;"",Anmeldung!$G$45&lt;&gt;Anmeldung!$G$45,(Anmeldung!$B$45&amp;": "&amp;Anmeldung!$D$45&amp;", "&amp;Anmeldung!$E$45&amp;" / "&amp;Anmeldung!$G$45&amp;" / "&amp;Anmeldung!$J$45)&lt;&gt;Anmeldung!$S$45),Anmeldung!$B$45&amp;": "&amp;Anmeldung!$D$45&amp;", "&amp;Anmeldung!$E$45&amp;" / "&amp;Anmeldung!$G$45&amp;" / "&amp;Anmeldung!$J$45,"")</f>
        <v/>
      </c>
      <c r="HM32" t="str">
        <f>IF(AND(38&lt;&gt;38,Anmeldung!$D$45&lt;&gt;"",(Anmeldung!$B$45&amp;": "&amp;Anmeldung!$D$45&amp;", "&amp;Anmeldung!$E$45&amp;" / "&amp;Anmeldung!$G$45&amp;" / "&amp;Anmeldung!$J$45)&lt;&gt;Anmeldung!$R$45),Anmeldung!$B$45&amp;": "&amp;Anmeldung!$D$45&amp;", "&amp;Anmeldung!$E$45&amp;" / "&amp;Anmeldung!$G$45&amp;" / "&amp;Anmeldung!$J$45,"")</f>
        <v/>
      </c>
      <c r="HN32" t="str">
        <f>IF(AND(37&lt;&gt;37,Anmeldung!$D$45&lt;&gt;"",Anmeldung!$U$45="Ja",Anmeldung!$G$45=Anmeldung!$G$45,Anmeldung!$J$45=Anmeldung!$J$45),Anmeldung!$B$45&amp;": "&amp;Anmeldung!$D$45&amp;", "&amp;Anmeldung!$E$45&amp;" / "&amp;Anmeldung!$G$45&amp;" / "&amp;Anmeldung!$J$45,"")</f>
        <v/>
      </c>
      <c r="HQ32" t="str">
        <f>IF(AND(38&lt;&gt;39,Anmeldung!$D$45&lt;&gt;"",Anmeldung!$G$45=Anmeldung!$G$46,Anmeldung!$J$45=Anmeldung!$J$46),Anmeldung!$B$45&amp;": "&amp;Anmeldung!$D$45&amp;", "&amp;Anmeldung!$E$45&amp;" / "&amp;Anmeldung!$G$45&amp;" / "&amp;Anmeldung!$J$45,"")</f>
        <v/>
      </c>
      <c r="HR32" t="str">
        <f>IF(AND(38&lt;&gt;39,Anmeldung!$D$45&lt;&gt;"",Anmeldung!$G$45=Anmeldung!$G$46,Anmeldung!$J$45=Anmeldung!$J$46,(Anmeldung!$B$45&amp;": "&amp;Anmeldung!$D$45&amp;", "&amp;Anmeldung!$E$45&amp;" / "&amp;Anmeldung!$G$45&amp;" / "&amp;Anmeldung!$J$45)&lt;&gt;Anmeldung!$P$46),Anmeldung!$B$45&amp;": "&amp;Anmeldung!$D$45&amp;", "&amp;Anmeldung!$E$45&amp;" / "&amp;Anmeldung!$G$45&amp;" / "&amp;Anmeldung!$J$45,"")</f>
        <v/>
      </c>
      <c r="HS32" t="str">
        <f>IF(AND(38&lt;&gt;39,Anmeldung!$D$45&lt;&gt;"",Anmeldung!$G$45=Anmeldung!$G$46,Anmeldung!$J$45=Anmeldung!$J$46,(Anmeldung!$B$45&amp;": "&amp;Anmeldung!$D$45&amp;", "&amp;Anmeldung!$E$45&amp;" / "&amp;Anmeldung!$G$45&amp;" / "&amp;Anmeldung!$J$45)&lt;&gt;Anmeldung!$O$46),Anmeldung!$B$45&amp;": "&amp;Anmeldung!$D$45&amp;", "&amp;Anmeldung!$E$45&amp;" / "&amp;Anmeldung!$G$45&amp;" / "&amp;Anmeldung!$J$45,"")</f>
        <v/>
      </c>
      <c r="HT32" t="str">
        <f>IF(AND(38&lt;&gt;39,Anmeldung!$D$45&lt;&gt;"",Anmeldung!$G$45&lt;&gt;Anmeldung!$G$46,(Anmeldung!$B$45&amp;": "&amp;Anmeldung!$D$45&amp;", "&amp;Anmeldung!$E$45&amp;" / "&amp;Anmeldung!$G$45&amp;" / "&amp;Anmeldung!$J$45)&lt;&gt;Anmeldung!$S$46),Anmeldung!$B$45&amp;": "&amp;Anmeldung!$D$45&amp;", "&amp;Anmeldung!$E$45&amp;" / "&amp;Anmeldung!$G$45&amp;" / "&amp;Anmeldung!$J$45,"")</f>
        <v/>
      </c>
      <c r="HU32" t="str">
        <f>IF(AND(38&lt;&gt;39,Anmeldung!$D$45&lt;&gt;"",(Anmeldung!$B$45&amp;": "&amp;Anmeldung!$D$45&amp;", "&amp;Anmeldung!$E$45&amp;" / "&amp;Anmeldung!$G$45&amp;" / "&amp;Anmeldung!$J$45)&lt;&gt;Anmeldung!$R$46),Anmeldung!$B$45&amp;": "&amp;Anmeldung!$D$45&amp;", "&amp;Anmeldung!$E$45&amp;" / "&amp;Anmeldung!$G$45&amp;" / "&amp;Anmeldung!$J$45,"")</f>
        <v/>
      </c>
      <c r="HV32" t="str">
        <f>IF(AND(37&lt;&gt;38,Anmeldung!$D$45&lt;&gt;"",Anmeldung!$U$45="Ja",Anmeldung!$G$45=Anmeldung!$G$46,Anmeldung!$J$45=Anmeldung!$J$46),Anmeldung!$B$45&amp;": "&amp;Anmeldung!$D$45&amp;", "&amp;Anmeldung!$E$45&amp;" / "&amp;Anmeldung!$G$45&amp;" / "&amp;Anmeldung!$J$45,"")</f>
        <v/>
      </c>
      <c r="HY32" t="str">
        <f>IF(AND(38&lt;&gt;40,Anmeldung!$D$45&lt;&gt;"",Anmeldung!$G$45=Anmeldung!$G$47,Anmeldung!$J$45=Anmeldung!$J$47),Anmeldung!$B$45&amp;": "&amp;Anmeldung!$D$45&amp;", "&amp;Anmeldung!$E$45&amp;" / "&amp;Anmeldung!$G$45&amp;" / "&amp;Anmeldung!$J$45,"")</f>
        <v/>
      </c>
      <c r="HZ32" t="str">
        <f>IF(AND(38&lt;&gt;40,Anmeldung!$D$45&lt;&gt;"",Anmeldung!$G$45=Anmeldung!$G$47,Anmeldung!$J$45=Anmeldung!$J$47,(Anmeldung!$B$45&amp;": "&amp;Anmeldung!$D$45&amp;", "&amp;Anmeldung!$E$45&amp;" / "&amp;Anmeldung!$G$45&amp;" / "&amp;Anmeldung!$J$45)&lt;&gt;Anmeldung!$P$47),Anmeldung!$B$45&amp;": "&amp;Anmeldung!$D$45&amp;", "&amp;Anmeldung!$E$45&amp;" / "&amp;Anmeldung!$G$45&amp;" / "&amp;Anmeldung!$J$45,"")</f>
        <v/>
      </c>
      <c r="IA32" t="str">
        <f>IF(AND(38&lt;&gt;40,Anmeldung!$D$45&lt;&gt;"",Anmeldung!$G$45=Anmeldung!$G$47,Anmeldung!$J$45=Anmeldung!$J$47,(Anmeldung!$B$45&amp;": "&amp;Anmeldung!$D$45&amp;", "&amp;Anmeldung!$E$45&amp;" / "&amp;Anmeldung!$G$45&amp;" / "&amp;Anmeldung!$J$45)&lt;&gt;Anmeldung!$O$47),Anmeldung!$B$45&amp;": "&amp;Anmeldung!$D$45&amp;", "&amp;Anmeldung!$E$45&amp;" / "&amp;Anmeldung!$G$45&amp;" / "&amp;Anmeldung!$J$45,"")</f>
        <v/>
      </c>
      <c r="IB32" t="str">
        <f>IF(AND(38&lt;&gt;40,Anmeldung!$D$45&lt;&gt;"",Anmeldung!$G$45&lt;&gt;Anmeldung!$G$47,(Anmeldung!$B$45&amp;": "&amp;Anmeldung!$D$45&amp;", "&amp;Anmeldung!$E$45&amp;" / "&amp;Anmeldung!$G$45&amp;" / "&amp;Anmeldung!$J$45)&lt;&gt;Anmeldung!$S$47),Anmeldung!$B$45&amp;": "&amp;Anmeldung!$D$45&amp;", "&amp;Anmeldung!$E$45&amp;" / "&amp;Anmeldung!$G$45&amp;" / "&amp;Anmeldung!$J$45,"")</f>
        <v/>
      </c>
      <c r="IC32" t="str">
        <f>IF(AND(38&lt;&gt;40,Anmeldung!$D$45&lt;&gt;"",(Anmeldung!$B$45&amp;": "&amp;Anmeldung!$D$45&amp;", "&amp;Anmeldung!$E$45&amp;" / "&amp;Anmeldung!$G$45&amp;" / "&amp;Anmeldung!$J$45)&lt;&gt;Anmeldung!$R$47),Anmeldung!$B$45&amp;": "&amp;Anmeldung!$D$45&amp;", "&amp;Anmeldung!$E$45&amp;" / "&amp;Anmeldung!$G$45&amp;" / "&amp;Anmeldung!$J$45,"")</f>
        <v/>
      </c>
      <c r="ID32" t="str">
        <f>IF(AND(37&lt;&gt;39,Anmeldung!$D$45&lt;&gt;"",Anmeldung!$U$45="Ja",Anmeldung!$G$45=Anmeldung!$G$47,Anmeldung!$J$45=Anmeldung!$J$47),Anmeldung!$B$45&amp;": "&amp;Anmeldung!$D$45&amp;", "&amp;Anmeldung!$E$45&amp;" / "&amp;Anmeldung!$G$45&amp;" / "&amp;Anmeldung!$J$45,"")</f>
        <v/>
      </c>
    </row>
    <row r="33" spans="1:238" ht="14.25" customHeight="1" x14ac:dyDescent="0.3">
      <c r="A33" t="str">
        <f>IF(AND(39&lt;&gt;11,Anmeldung!$D$46&lt;&gt;"",Anmeldung!$G$46=Anmeldung!$G$18,Anmeldung!$J$46=Anmeldung!$J$18),Anmeldung!$B$46&amp;": "&amp;Anmeldung!$D$46&amp;", "&amp;Anmeldung!$E$46&amp;" / "&amp;Anmeldung!$G$46&amp;" / "&amp;Anmeldung!$J$46,"")</f>
        <v/>
      </c>
      <c r="B33" t="str">
        <f>IF(AND(39&lt;&gt;11,Anmeldung!$D$46&lt;&gt;"",Anmeldung!$G$46=Anmeldung!$G$18,Anmeldung!$J$46=Anmeldung!$J$18,(Anmeldung!$B$46&amp;": "&amp;Anmeldung!$D$46&amp;", "&amp;Anmeldung!$E$46&amp;" / "&amp;Anmeldung!$G$46&amp;" / "&amp;Anmeldung!$J$46)&lt;&gt;Anmeldung!$P$18),Anmeldung!$B$46&amp;": "&amp;Anmeldung!$D$46&amp;", "&amp;Anmeldung!$E$46&amp;" / "&amp;Anmeldung!$G$46&amp;" / "&amp;Anmeldung!$J$46,"")</f>
        <v/>
      </c>
      <c r="C33" t="str">
        <f>IF(AND(39&lt;&gt;11,Anmeldung!$D$46&lt;&gt;"",Anmeldung!$G$46=Anmeldung!$G$18,Anmeldung!$J$46=Anmeldung!$J$18,(Anmeldung!$B$46&amp;": "&amp;Anmeldung!$D$46&amp;", "&amp;Anmeldung!$E$46&amp;" / "&amp;Anmeldung!$G$46&amp;" / "&amp;Anmeldung!$J$46)&lt;&gt;Anmeldung!$O$18),Anmeldung!$B$46&amp;": "&amp;Anmeldung!$D$46&amp;", "&amp;Anmeldung!$E$46&amp;" / "&amp;Anmeldung!$G$46&amp;" / "&amp;Anmeldung!$J$46,"")</f>
        <v/>
      </c>
      <c r="D33" t="str">
        <f>IF(AND(39&lt;&gt;11,Anmeldung!$D$46&lt;&gt;"",Anmeldung!$G$46&lt;&gt;Anmeldung!$G$18,(Anmeldung!$B$46&amp;": "&amp;Anmeldung!$D$46&amp;", "&amp;Anmeldung!$E$46&amp;" / "&amp;Anmeldung!$G$46&amp;" / "&amp;Anmeldung!$J$46)&lt;&gt;Anmeldung!$S$18),Anmeldung!$B$46&amp;": "&amp;Anmeldung!$D$46&amp;", "&amp;Anmeldung!$E$46&amp;" / "&amp;Anmeldung!$G$46&amp;" / "&amp;Anmeldung!$J$46,"")</f>
        <v/>
      </c>
      <c r="E33" t="str">
        <f>IF(AND(39&lt;&gt;11,Anmeldung!$D$46&lt;&gt;"",(Anmeldung!$B$46&amp;": "&amp;Anmeldung!$D$46&amp;", "&amp;Anmeldung!$E$46&amp;" / "&amp;Anmeldung!$G$46&amp;" / "&amp;Anmeldung!$J$46)&lt;&gt;Anmeldung!$R$18),Anmeldung!$B$46&amp;": "&amp;Anmeldung!$D$46&amp;", "&amp;Anmeldung!$E$46&amp;" / "&amp;Anmeldung!$G$46&amp;" / "&amp;Anmeldung!$J$46,"")</f>
        <v/>
      </c>
      <c r="F33" t="str">
        <f>IF(AND(38&lt;&gt;10,Anmeldung!$D$46&lt;&gt;"",Anmeldung!$U$46="Ja",Anmeldung!$G$46=Anmeldung!$G$18,Anmeldung!$J$46=Anmeldung!$J$18),Anmeldung!$B$46&amp;": "&amp;Anmeldung!$D$46&amp;", "&amp;Anmeldung!$E$46&amp;" / "&amp;Anmeldung!$G$46&amp;" / "&amp;Anmeldung!$J$46,"")</f>
        <v/>
      </c>
      <c r="I33" t="str">
        <f>IF(AND(39&lt;&gt;12,Anmeldung!$D$46&lt;&gt;"",Anmeldung!$G$46=Anmeldung!$G$19,Anmeldung!$J$46=Anmeldung!$J$19),Anmeldung!$B$46&amp;": "&amp;Anmeldung!$D$46&amp;", "&amp;Anmeldung!$E$46&amp;" / "&amp;Anmeldung!$G$46&amp;" / "&amp;Anmeldung!$J$46,"")</f>
        <v/>
      </c>
      <c r="J33" t="str">
        <f>IF(AND(39&lt;&gt;12,Anmeldung!$D$46&lt;&gt;"",Anmeldung!$G$46=Anmeldung!$G$19,Anmeldung!$J$46=Anmeldung!$J$19,(Anmeldung!$B$46&amp;": "&amp;Anmeldung!$D$46&amp;", "&amp;Anmeldung!$E$46&amp;" / "&amp;Anmeldung!$G$46&amp;" / "&amp;Anmeldung!$J$46)&lt;&gt;Anmeldung!$P$19),Anmeldung!$B$46&amp;": "&amp;Anmeldung!$D$46&amp;", "&amp;Anmeldung!$E$46&amp;" / "&amp;Anmeldung!$G$46&amp;" / "&amp;Anmeldung!$J$46,"")</f>
        <v/>
      </c>
      <c r="K33" t="str">
        <f>IF(AND(39&lt;&gt;12,Anmeldung!$D$46&lt;&gt;"",Anmeldung!$G$46=Anmeldung!$G$19,Anmeldung!$J$46=Anmeldung!$J$19,(Anmeldung!$B$46&amp;": "&amp;Anmeldung!$D$46&amp;", "&amp;Anmeldung!$E$46&amp;" / "&amp;Anmeldung!$G$46&amp;" / "&amp;Anmeldung!$J$46)&lt;&gt;Anmeldung!$O$19),Anmeldung!$B$46&amp;": "&amp;Anmeldung!$D$46&amp;", "&amp;Anmeldung!$E$46&amp;" / "&amp;Anmeldung!$G$46&amp;" / "&amp;Anmeldung!$J$46,"")</f>
        <v/>
      </c>
      <c r="L33" t="str">
        <f>IF(AND(39&lt;&gt;12,Anmeldung!$D$46&lt;&gt;"",Anmeldung!$G$46&lt;&gt;Anmeldung!$G$19,(Anmeldung!$B$46&amp;": "&amp;Anmeldung!$D$46&amp;", "&amp;Anmeldung!$E$46&amp;" / "&amp;Anmeldung!$G$46&amp;" / "&amp;Anmeldung!$J$46)&lt;&gt;Anmeldung!$S$19),Anmeldung!$B$46&amp;": "&amp;Anmeldung!$D$46&amp;", "&amp;Anmeldung!$E$46&amp;" / "&amp;Anmeldung!$G$46&amp;" / "&amp;Anmeldung!$J$46,"")</f>
        <v/>
      </c>
      <c r="M33" t="str">
        <f>IF(AND(39&lt;&gt;12,Anmeldung!$D$46&lt;&gt;"",(Anmeldung!$B$46&amp;": "&amp;Anmeldung!$D$46&amp;", "&amp;Anmeldung!$E$46&amp;" / "&amp;Anmeldung!$G$46&amp;" / "&amp;Anmeldung!$J$46)&lt;&gt;Anmeldung!$R$19),Anmeldung!$B$46&amp;": "&amp;Anmeldung!$D$46&amp;", "&amp;Anmeldung!$E$46&amp;" / "&amp;Anmeldung!$G$46&amp;" / "&amp;Anmeldung!$J$46,"")</f>
        <v/>
      </c>
      <c r="N33" t="str">
        <f>IF(AND(38&lt;&gt;11,Anmeldung!$D$46&lt;&gt;"",Anmeldung!$U$46="Ja",Anmeldung!$G$46=Anmeldung!$G$19,Anmeldung!$J$46=Anmeldung!$J$19),Anmeldung!$B$46&amp;": "&amp;Anmeldung!$D$46&amp;", "&amp;Anmeldung!$E$46&amp;" / "&amp;Anmeldung!$G$46&amp;" / "&amp;Anmeldung!$J$46,"")</f>
        <v/>
      </c>
      <c r="Q33" t="str">
        <f>IF(AND(39&lt;&gt;13,Anmeldung!$D$46&lt;&gt;"",Anmeldung!$G$46=Anmeldung!$G$20,Anmeldung!$J$46=Anmeldung!$J$20),Anmeldung!$B$46&amp;": "&amp;Anmeldung!$D$46&amp;", "&amp;Anmeldung!$E$46&amp;" / "&amp;Anmeldung!$G$46&amp;" / "&amp;Anmeldung!$J$46,"")</f>
        <v/>
      </c>
      <c r="R33" t="str">
        <f>IF(AND(39&lt;&gt;13,Anmeldung!$D$46&lt;&gt;"",Anmeldung!$G$46=Anmeldung!$G$20,Anmeldung!$J$46=Anmeldung!$J$20,(Anmeldung!$B$46&amp;": "&amp;Anmeldung!$D$46&amp;", "&amp;Anmeldung!$E$46&amp;" / "&amp;Anmeldung!$G$46&amp;" / "&amp;Anmeldung!$J$46)&lt;&gt;Anmeldung!$P$20),Anmeldung!$B$46&amp;": "&amp;Anmeldung!$D$46&amp;", "&amp;Anmeldung!$E$46&amp;" / "&amp;Anmeldung!$G$46&amp;" / "&amp;Anmeldung!$J$46,"")</f>
        <v/>
      </c>
      <c r="S33" t="str">
        <f>IF(AND(39&lt;&gt;13,Anmeldung!$D$46&lt;&gt;"",Anmeldung!$G$46=Anmeldung!$G$20,Anmeldung!$J$46=Anmeldung!$J$20,(Anmeldung!$B$46&amp;": "&amp;Anmeldung!$D$46&amp;", "&amp;Anmeldung!$E$46&amp;" / "&amp;Anmeldung!$G$46&amp;" / "&amp;Anmeldung!$J$46)&lt;&gt;Anmeldung!$O$20),Anmeldung!$B$46&amp;": "&amp;Anmeldung!$D$46&amp;", "&amp;Anmeldung!$E$46&amp;" / "&amp;Anmeldung!$G$46&amp;" / "&amp;Anmeldung!$J$46,"")</f>
        <v/>
      </c>
      <c r="T33" t="str">
        <f>IF(AND(39&lt;&gt;13,Anmeldung!$D$46&lt;&gt;"",Anmeldung!$G$46&lt;&gt;Anmeldung!$G$20,(Anmeldung!$B$46&amp;": "&amp;Anmeldung!$D$46&amp;", "&amp;Anmeldung!$E$46&amp;" / "&amp;Anmeldung!$G$46&amp;" / "&amp;Anmeldung!$J$46)&lt;&gt;Anmeldung!$S$20),Anmeldung!$B$46&amp;": "&amp;Anmeldung!$D$46&amp;", "&amp;Anmeldung!$E$46&amp;" / "&amp;Anmeldung!$G$46&amp;" / "&amp;Anmeldung!$J$46,"")</f>
        <v/>
      </c>
      <c r="U33" t="str">
        <f>IF(AND(39&lt;&gt;13,Anmeldung!$D$46&lt;&gt;"",(Anmeldung!$B$46&amp;": "&amp;Anmeldung!$D$46&amp;", "&amp;Anmeldung!$E$46&amp;" / "&amp;Anmeldung!$G$46&amp;" / "&amp;Anmeldung!$J$46)&lt;&gt;Anmeldung!$R$20),Anmeldung!$B$46&amp;": "&amp;Anmeldung!$D$46&amp;", "&amp;Anmeldung!$E$46&amp;" / "&amp;Anmeldung!$G$46&amp;" / "&amp;Anmeldung!$J$46,"")</f>
        <v/>
      </c>
      <c r="V33" t="str">
        <f>IF(AND(38&lt;&gt;12,Anmeldung!$D$46&lt;&gt;"",Anmeldung!$U$46="Ja",Anmeldung!$G$46=Anmeldung!$G$20,Anmeldung!$J$46=Anmeldung!$J$20),Anmeldung!$B$46&amp;": "&amp;Anmeldung!$D$46&amp;", "&amp;Anmeldung!$E$46&amp;" / "&amp;Anmeldung!$G$46&amp;" / "&amp;Anmeldung!$J$46,"")</f>
        <v/>
      </c>
      <c r="Y33" t="str">
        <f>IF(AND(39&lt;&gt;14,Anmeldung!$D$46&lt;&gt;"",Anmeldung!$G$46=Anmeldung!$G$21,Anmeldung!$J$46=Anmeldung!$J$21),Anmeldung!$B$46&amp;": "&amp;Anmeldung!$D$46&amp;", "&amp;Anmeldung!$E$46&amp;" / "&amp;Anmeldung!$G$46&amp;" / "&amp;Anmeldung!$J$46,"")</f>
        <v/>
      </c>
      <c r="Z33" t="str">
        <f>IF(AND(39&lt;&gt;14,Anmeldung!$D$46&lt;&gt;"",Anmeldung!$G$46=Anmeldung!$G$21,Anmeldung!$J$46=Anmeldung!$J$21,(Anmeldung!$B$46&amp;": "&amp;Anmeldung!$D$46&amp;", "&amp;Anmeldung!$E$46&amp;" / "&amp;Anmeldung!$G$46&amp;" / "&amp;Anmeldung!$J$46)&lt;&gt;Anmeldung!$P$21),Anmeldung!$B$46&amp;": "&amp;Anmeldung!$D$46&amp;", "&amp;Anmeldung!$E$46&amp;" / "&amp;Anmeldung!$G$46&amp;" / "&amp;Anmeldung!$J$46,"")</f>
        <v/>
      </c>
      <c r="AA33" t="str">
        <f>IF(AND(39&lt;&gt;14,Anmeldung!$D$46&lt;&gt;"",Anmeldung!$G$46=Anmeldung!$G$21,Anmeldung!$J$46=Anmeldung!$J$21,(Anmeldung!$B$46&amp;": "&amp;Anmeldung!$D$46&amp;", "&amp;Anmeldung!$E$46&amp;" / "&amp;Anmeldung!$G$46&amp;" / "&amp;Anmeldung!$J$46)&lt;&gt;Anmeldung!$O$21),Anmeldung!$B$46&amp;": "&amp;Anmeldung!$D$46&amp;", "&amp;Anmeldung!$E$46&amp;" / "&amp;Anmeldung!$G$46&amp;" / "&amp;Anmeldung!$J$46,"")</f>
        <v/>
      </c>
      <c r="AB33" t="str">
        <f>IF(AND(39&lt;&gt;14,Anmeldung!$D$46&lt;&gt;"",Anmeldung!$G$46&lt;&gt;Anmeldung!$G$21,(Anmeldung!$B$46&amp;": "&amp;Anmeldung!$D$46&amp;", "&amp;Anmeldung!$E$46&amp;" / "&amp;Anmeldung!$G$46&amp;" / "&amp;Anmeldung!$J$46)&lt;&gt;Anmeldung!$S$21),Anmeldung!$B$46&amp;": "&amp;Anmeldung!$D$46&amp;", "&amp;Anmeldung!$E$46&amp;" / "&amp;Anmeldung!$G$46&amp;" / "&amp;Anmeldung!$J$46,"")</f>
        <v/>
      </c>
      <c r="AC33" t="str">
        <f>IF(AND(39&lt;&gt;14,Anmeldung!$D$46&lt;&gt;"",(Anmeldung!$B$46&amp;": "&amp;Anmeldung!$D$46&amp;", "&amp;Anmeldung!$E$46&amp;" / "&amp;Anmeldung!$G$46&amp;" / "&amp;Anmeldung!$J$46)&lt;&gt;Anmeldung!$R$21),Anmeldung!$B$46&amp;": "&amp;Anmeldung!$D$46&amp;", "&amp;Anmeldung!$E$46&amp;" / "&amp;Anmeldung!$G$46&amp;" / "&amp;Anmeldung!$J$46,"")</f>
        <v/>
      </c>
      <c r="AD33" t="str">
        <f>IF(AND(38&lt;&gt;13,Anmeldung!$D$46&lt;&gt;"",Anmeldung!$U$46="Ja",Anmeldung!$G$46=Anmeldung!$G$21,Anmeldung!$J$46=Anmeldung!$J$21),Anmeldung!$B$46&amp;": "&amp;Anmeldung!$D$46&amp;", "&amp;Anmeldung!$E$46&amp;" / "&amp;Anmeldung!$G$46&amp;" / "&amp;Anmeldung!$J$46,"")</f>
        <v/>
      </c>
      <c r="AG33" t="str">
        <f>IF(AND(39&lt;&gt;15,Anmeldung!$D$46&lt;&gt;"",Anmeldung!$G$46=Anmeldung!$G$22,Anmeldung!$J$46=Anmeldung!$J$22),Anmeldung!$B$46&amp;": "&amp;Anmeldung!$D$46&amp;", "&amp;Anmeldung!$E$46&amp;" / "&amp;Anmeldung!$G$46&amp;" / "&amp;Anmeldung!$J$46,"")</f>
        <v/>
      </c>
      <c r="AH33" t="str">
        <f>IF(AND(39&lt;&gt;15,Anmeldung!$D$46&lt;&gt;"",Anmeldung!$G$46=Anmeldung!$G$22,Anmeldung!$J$46=Anmeldung!$J$22,(Anmeldung!$B$46&amp;": "&amp;Anmeldung!$D$46&amp;", "&amp;Anmeldung!$E$46&amp;" / "&amp;Anmeldung!$G$46&amp;" / "&amp;Anmeldung!$J$46)&lt;&gt;Anmeldung!$P$22),Anmeldung!$B$46&amp;": "&amp;Anmeldung!$D$46&amp;", "&amp;Anmeldung!$E$46&amp;" / "&amp;Anmeldung!$G$46&amp;" / "&amp;Anmeldung!$J$46,"")</f>
        <v/>
      </c>
      <c r="AI33" t="str">
        <f>IF(AND(39&lt;&gt;15,Anmeldung!$D$46&lt;&gt;"",Anmeldung!$G$46=Anmeldung!$G$22,Anmeldung!$J$46=Anmeldung!$J$22,(Anmeldung!$B$46&amp;": "&amp;Anmeldung!$D$46&amp;", "&amp;Anmeldung!$E$46&amp;" / "&amp;Anmeldung!$G$46&amp;" / "&amp;Anmeldung!$J$46)&lt;&gt;Anmeldung!$O$22),Anmeldung!$B$46&amp;": "&amp;Anmeldung!$D$46&amp;", "&amp;Anmeldung!$E$46&amp;" / "&amp;Anmeldung!$G$46&amp;" / "&amp;Anmeldung!$J$46,"")</f>
        <v/>
      </c>
      <c r="AJ33" t="str">
        <f>IF(AND(39&lt;&gt;15,Anmeldung!$D$46&lt;&gt;"",Anmeldung!$G$46&lt;&gt;Anmeldung!$G$22,(Anmeldung!$B$46&amp;": "&amp;Anmeldung!$D$46&amp;", "&amp;Anmeldung!$E$46&amp;" / "&amp;Anmeldung!$G$46&amp;" / "&amp;Anmeldung!$J$46)&lt;&gt;Anmeldung!$S$22),Anmeldung!$B$46&amp;": "&amp;Anmeldung!$D$46&amp;", "&amp;Anmeldung!$E$46&amp;" / "&amp;Anmeldung!$G$46&amp;" / "&amp;Anmeldung!$J$46,"")</f>
        <v/>
      </c>
      <c r="AK33" t="str">
        <f>IF(AND(39&lt;&gt;15,Anmeldung!$D$46&lt;&gt;"",(Anmeldung!$B$46&amp;": "&amp;Anmeldung!$D$46&amp;", "&amp;Anmeldung!$E$46&amp;" / "&amp;Anmeldung!$G$46&amp;" / "&amp;Anmeldung!$J$46)&lt;&gt;Anmeldung!$R$22),Anmeldung!$B$46&amp;": "&amp;Anmeldung!$D$46&amp;", "&amp;Anmeldung!$E$46&amp;" / "&amp;Anmeldung!$G$46&amp;" / "&amp;Anmeldung!$J$46,"")</f>
        <v/>
      </c>
      <c r="AL33" t="str">
        <f>IF(AND(38&lt;&gt;14,Anmeldung!$D$46&lt;&gt;"",Anmeldung!$U$46="Ja",Anmeldung!$G$46=Anmeldung!$G$22,Anmeldung!$J$46=Anmeldung!$J$22),Anmeldung!$B$46&amp;": "&amp;Anmeldung!$D$46&amp;", "&amp;Anmeldung!$E$46&amp;" / "&amp;Anmeldung!$G$46&amp;" / "&amp;Anmeldung!$J$46,"")</f>
        <v/>
      </c>
      <c r="AO33" t="str">
        <f>IF(AND(39&lt;&gt;16,Anmeldung!$D$46&lt;&gt;"",Anmeldung!$G$46=Anmeldung!$G$23,Anmeldung!$J$46=Anmeldung!$J$23),Anmeldung!$B$46&amp;": "&amp;Anmeldung!$D$46&amp;", "&amp;Anmeldung!$E$46&amp;" / "&amp;Anmeldung!$G$46&amp;" / "&amp;Anmeldung!$J$46,"")</f>
        <v/>
      </c>
      <c r="AP33" t="str">
        <f>IF(AND(39&lt;&gt;16,Anmeldung!$D$46&lt;&gt;"",Anmeldung!$G$46=Anmeldung!$G$23,Anmeldung!$J$46=Anmeldung!$J$23,(Anmeldung!$B$46&amp;": "&amp;Anmeldung!$D$46&amp;", "&amp;Anmeldung!$E$46&amp;" / "&amp;Anmeldung!$G$46&amp;" / "&amp;Anmeldung!$J$46)&lt;&gt;Anmeldung!$P$23),Anmeldung!$B$46&amp;": "&amp;Anmeldung!$D$46&amp;", "&amp;Anmeldung!$E$46&amp;" / "&amp;Anmeldung!$G$46&amp;" / "&amp;Anmeldung!$J$46,"")</f>
        <v/>
      </c>
      <c r="AQ33" t="str">
        <f>IF(AND(39&lt;&gt;16,Anmeldung!$D$46&lt;&gt;"",Anmeldung!$G$46=Anmeldung!$G$23,Anmeldung!$J$46=Anmeldung!$J$23,(Anmeldung!$B$46&amp;": "&amp;Anmeldung!$D$46&amp;", "&amp;Anmeldung!$E$46&amp;" / "&amp;Anmeldung!$G$46&amp;" / "&amp;Anmeldung!$J$46)&lt;&gt;Anmeldung!$O$23),Anmeldung!$B$46&amp;": "&amp;Anmeldung!$D$46&amp;", "&amp;Anmeldung!$E$46&amp;" / "&amp;Anmeldung!$G$46&amp;" / "&amp;Anmeldung!$J$46,"")</f>
        <v/>
      </c>
      <c r="AR33" t="str">
        <f>IF(AND(39&lt;&gt;16,Anmeldung!$D$46&lt;&gt;"",Anmeldung!$G$46&lt;&gt;Anmeldung!$G$23,(Anmeldung!$B$46&amp;": "&amp;Anmeldung!$D$46&amp;", "&amp;Anmeldung!$E$46&amp;" / "&amp;Anmeldung!$G$46&amp;" / "&amp;Anmeldung!$J$46)&lt;&gt;Anmeldung!$S$23),Anmeldung!$B$46&amp;": "&amp;Anmeldung!$D$46&amp;", "&amp;Anmeldung!$E$46&amp;" / "&amp;Anmeldung!$G$46&amp;" / "&amp;Anmeldung!$J$46,"")</f>
        <v/>
      </c>
      <c r="AS33" t="str">
        <f>IF(AND(39&lt;&gt;16,Anmeldung!$D$46&lt;&gt;"",(Anmeldung!$B$46&amp;": "&amp;Anmeldung!$D$46&amp;", "&amp;Anmeldung!$E$46&amp;" / "&amp;Anmeldung!$G$46&amp;" / "&amp;Anmeldung!$J$46)&lt;&gt;Anmeldung!$R$23),Anmeldung!$B$46&amp;": "&amp;Anmeldung!$D$46&amp;", "&amp;Anmeldung!$E$46&amp;" / "&amp;Anmeldung!$G$46&amp;" / "&amp;Anmeldung!$J$46,"")</f>
        <v/>
      </c>
      <c r="AT33" t="str">
        <f>IF(AND(38&lt;&gt;15,Anmeldung!$D$46&lt;&gt;"",Anmeldung!$U$46="Ja",Anmeldung!$G$46=Anmeldung!$G$23,Anmeldung!$J$46=Anmeldung!$J$23),Anmeldung!$B$46&amp;": "&amp;Anmeldung!$D$46&amp;", "&amp;Anmeldung!$E$46&amp;" / "&amp;Anmeldung!$G$46&amp;" / "&amp;Anmeldung!$J$46,"")</f>
        <v/>
      </c>
      <c r="AW33" t="str">
        <f>IF(AND(39&lt;&gt;17,Anmeldung!$D$46&lt;&gt;"",Anmeldung!$G$46=Anmeldung!$G$24,Anmeldung!$J$46=Anmeldung!$J$24),Anmeldung!$B$46&amp;": "&amp;Anmeldung!$D$46&amp;", "&amp;Anmeldung!$E$46&amp;" / "&amp;Anmeldung!$G$46&amp;" / "&amp;Anmeldung!$J$46,"")</f>
        <v/>
      </c>
      <c r="AX33" t="str">
        <f>IF(AND(39&lt;&gt;17,Anmeldung!$D$46&lt;&gt;"",Anmeldung!$G$46=Anmeldung!$G$24,Anmeldung!$J$46=Anmeldung!$J$24,(Anmeldung!$B$46&amp;": "&amp;Anmeldung!$D$46&amp;", "&amp;Anmeldung!$E$46&amp;" / "&amp;Anmeldung!$G$46&amp;" / "&amp;Anmeldung!$J$46)&lt;&gt;Anmeldung!$P$24),Anmeldung!$B$46&amp;": "&amp;Anmeldung!$D$46&amp;", "&amp;Anmeldung!$E$46&amp;" / "&amp;Anmeldung!$G$46&amp;" / "&amp;Anmeldung!$J$46,"")</f>
        <v/>
      </c>
      <c r="AY33" t="str">
        <f>IF(AND(39&lt;&gt;17,Anmeldung!$D$46&lt;&gt;"",Anmeldung!$G$46=Anmeldung!$G$24,Anmeldung!$J$46=Anmeldung!$J$24,(Anmeldung!$B$46&amp;": "&amp;Anmeldung!$D$46&amp;", "&amp;Anmeldung!$E$46&amp;" / "&amp;Anmeldung!$G$46&amp;" / "&amp;Anmeldung!$J$46)&lt;&gt;Anmeldung!$O$24),Anmeldung!$B$46&amp;": "&amp;Anmeldung!$D$46&amp;", "&amp;Anmeldung!$E$46&amp;" / "&amp;Anmeldung!$G$46&amp;" / "&amp;Anmeldung!$J$46,"")</f>
        <v/>
      </c>
      <c r="AZ33" t="str">
        <f>IF(AND(39&lt;&gt;17,Anmeldung!$D$46&lt;&gt;"",Anmeldung!$G$46&lt;&gt;Anmeldung!$G$24,(Anmeldung!$B$46&amp;": "&amp;Anmeldung!$D$46&amp;", "&amp;Anmeldung!$E$46&amp;" / "&amp;Anmeldung!$G$46&amp;" / "&amp;Anmeldung!$J$46)&lt;&gt;Anmeldung!$S$24),Anmeldung!$B$46&amp;": "&amp;Anmeldung!$D$46&amp;", "&amp;Anmeldung!$E$46&amp;" / "&amp;Anmeldung!$G$46&amp;" / "&amp;Anmeldung!$J$46,"")</f>
        <v/>
      </c>
      <c r="BA33" t="str">
        <f>IF(AND(39&lt;&gt;17,Anmeldung!$D$46&lt;&gt;"",(Anmeldung!$B$46&amp;": "&amp;Anmeldung!$D$46&amp;", "&amp;Anmeldung!$E$46&amp;" / "&amp;Anmeldung!$G$46&amp;" / "&amp;Anmeldung!$J$46)&lt;&gt;Anmeldung!$R$24),Anmeldung!$B$46&amp;": "&amp;Anmeldung!$D$46&amp;", "&amp;Anmeldung!$E$46&amp;" / "&amp;Anmeldung!$G$46&amp;" / "&amp;Anmeldung!$J$46,"")</f>
        <v/>
      </c>
      <c r="BB33" t="str">
        <f>IF(AND(38&lt;&gt;16,Anmeldung!$D$46&lt;&gt;"",Anmeldung!$U$46="Ja",Anmeldung!$G$46=Anmeldung!$G$24,Anmeldung!$J$46=Anmeldung!$J$24),Anmeldung!$B$46&amp;": "&amp;Anmeldung!$D$46&amp;", "&amp;Anmeldung!$E$46&amp;" / "&amp;Anmeldung!$G$46&amp;" / "&amp;Anmeldung!$J$46,"")</f>
        <v/>
      </c>
      <c r="BE33" t="str">
        <f>IF(AND(39&lt;&gt;18,Anmeldung!$D$46&lt;&gt;"",Anmeldung!$G$46=Anmeldung!$G$25,Anmeldung!$J$46=Anmeldung!$J$25),Anmeldung!$B$46&amp;": "&amp;Anmeldung!$D$46&amp;", "&amp;Anmeldung!$E$46&amp;" / "&amp;Anmeldung!$G$46&amp;" / "&amp;Anmeldung!$J$46,"")</f>
        <v/>
      </c>
      <c r="BF33" t="str">
        <f>IF(AND(39&lt;&gt;18,Anmeldung!$D$46&lt;&gt;"",Anmeldung!$G$46=Anmeldung!$G$25,Anmeldung!$J$46=Anmeldung!$J$25,(Anmeldung!$B$46&amp;": "&amp;Anmeldung!$D$46&amp;", "&amp;Anmeldung!$E$46&amp;" / "&amp;Anmeldung!$G$46&amp;" / "&amp;Anmeldung!$J$46)&lt;&gt;Anmeldung!$P$25),Anmeldung!$B$46&amp;": "&amp;Anmeldung!$D$46&amp;", "&amp;Anmeldung!$E$46&amp;" / "&amp;Anmeldung!$G$46&amp;" / "&amp;Anmeldung!$J$46,"")</f>
        <v/>
      </c>
      <c r="BG33" t="str">
        <f>IF(AND(39&lt;&gt;18,Anmeldung!$D$46&lt;&gt;"",Anmeldung!$G$46=Anmeldung!$G$25,Anmeldung!$J$46=Anmeldung!$J$25,(Anmeldung!$B$46&amp;": "&amp;Anmeldung!$D$46&amp;", "&amp;Anmeldung!$E$46&amp;" / "&amp;Anmeldung!$G$46&amp;" / "&amp;Anmeldung!$J$46)&lt;&gt;Anmeldung!$O$25),Anmeldung!$B$46&amp;": "&amp;Anmeldung!$D$46&amp;", "&amp;Anmeldung!$E$46&amp;" / "&amp;Anmeldung!$G$46&amp;" / "&amp;Anmeldung!$J$46,"")</f>
        <v/>
      </c>
      <c r="BH33" t="str">
        <f>IF(AND(39&lt;&gt;18,Anmeldung!$D$46&lt;&gt;"",Anmeldung!$G$46&lt;&gt;Anmeldung!$G$25,(Anmeldung!$B$46&amp;": "&amp;Anmeldung!$D$46&amp;", "&amp;Anmeldung!$E$46&amp;" / "&amp;Anmeldung!$G$46&amp;" / "&amp;Anmeldung!$J$46)&lt;&gt;Anmeldung!$S$25),Anmeldung!$B$46&amp;": "&amp;Anmeldung!$D$46&amp;", "&amp;Anmeldung!$E$46&amp;" / "&amp;Anmeldung!$G$46&amp;" / "&amp;Anmeldung!$J$46,"")</f>
        <v/>
      </c>
      <c r="BI33" t="str">
        <f>IF(AND(39&lt;&gt;18,Anmeldung!$D$46&lt;&gt;"",(Anmeldung!$B$46&amp;": "&amp;Anmeldung!$D$46&amp;", "&amp;Anmeldung!$E$46&amp;" / "&amp;Anmeldung!$G$46&amp;" / "&amp;Anmeldung!$J$46)&lt;&gt;Anmeldung!$R$25),Anmeldung!$B$46&amp;": "&amp;Anmeldung!$D$46&amp;", "&amp;Anmeldung!$E$46&amp;" / "&amp;Anmeldung!$G$46&amp;" / "&amp;Anmeldung!$J$46,"")</f>
        <v/>
      </c>
      <c r="BJ33" t="str">
        <f>IF(AND(38&lt;&gt;17,Anmeldung!$D$46&lt;&gt;"",Anmeldung!$U$46="Ja",Anmeldung!$G$46=Anmeldung!$G$25,Anmeldung!$J$46=Anmeldung!$J$25),Anmeldung!$B$46&amp;": "&amp;Anmeldung!$D$46&amp;", "&amp;Anmeldung!$E$46&amp;" / "&amp;Anmeldung!$G$46&amp;" / "&amp;Anmeldung!$J$46,"")</f>
        <v/>
      </c>
      <c r="BM33" t="str">
        <f>IF(AND(39&lt;&gt;19,Anmeldung!$D$46&lt;&gt;"",Anmeldung!$G$46=Anmeldung!$G$26,Anmeldung!$J$46=Anmeldung!$J$26),Anmeldung!$B$46&amp;": "&amp;Anmeldung!$D$46&amp;", "&amp;Anmeldung!$E$46&amp;" / "&amp;Anmeldung!$G$46&amp;" / "&amp;Anmeldung!$J$46,"")</f>
        <v/>
      </c>
      <c r="BN33" t="str">
        <f>IF(AND(39&lt;&gt;19,Anmeldung!$D$46&lt;&gt;"",Anmeldung!$G$46=Anmeldung!$G$26,Anmeldung!$J$46=Anmeldung!$J$26,(Anmeldung!$B$46&amp;": "&amp;Anmeldung!$D$46&amp;", "&amp;Anmeldung!$E$46&amp;" / "&amp;Anmeldung!$G$46&amp;" / "&amp;Anmeldung!$J$46)&lt;&gt;Anmeldung!$P$26),Anmeldung!$B$46&amp;": "&amp;Anmeldung!$D$46&amp;", "&amp;Anmeldung!$E$46&amp;" / "&amp;Anmeldung!$G$46&amp;" / "&amp;Anmeldung!$J$46,"")</f>
        <v/>
      </c>
      <c r="BO33" t="str">
        <f>IF(AND(39&lt;&gt;19,Anmeldung!$D$46&lt;&gt;"",Anmeldung!$G$46=Anmeldung!$G$26,Anmeldung!$J$46=Anmeldung!$J$26,(Anmeldung!$B$46&amp;": "&amp;Anmeldung!$D$46&amp;", "&amp;Anmeldung!$E$46&amp;" / "&amp;Anmeldung!$G$46&amp;" / "&amp;Anmeldung!$J$46)&lt;&gt;Anmeldung!$O$26),Anmeldung!$B$46&amp;": "&amp;Anmeldung!$D$46&amp;", "&amp;Anmeldung!$E$46&amp;" / "&amp;Anmeldung!$G$46&amp;" / "&amp;Anmeldung!$J$46,"")</f>
        <v/>
      </c>
      <c r="BP33" t="str">
        <f>IF(AND(39&lt;&gt;19,Anmeldung!$D$46&lt;&gt;"",Anmeldung!$G$46&lt;&gt;Anmeldung!$G$26,(Anmeldung!$B$46&amp;": "&amp;Anmeldung!$D$46&amp;", "&amp;Anmeldung!$E$46&amp;" / "&amp;Anmeldung!$G$46&amp;" / "&amp;Anmeldung!$J$46)&lt;&gt;Anmeldung!$S$26),Anmeldung!$B$46&amp;": "&amp;Anmeldung!$D$46&amp;", "&amp;Anmeldung!$E$46&amp;" / "&amp;Anmeldung!$G$46&amp;" / "&amp;Anmeldung!$J$46,"")</f>
        <v/>
      </c>
      <c r="BQ33" t="str">
        <f>IF(AND(39&lt;&gt;19,Anmeldung!$D$46&lt;&gt;"",(Anmeldung!$B$46&amp;": "&amp;Anmeldung!$D$46&amp;", "&amp;Anmeldung!$E$46&amp;" / "&amp;Anmeldung!$G$46&amp;" / "&amp;Anmeldung!$J$46)&lt;&gt;Anmeldung!$R$26),Anmeldung!$B$46&amp;": "&amp;Anmeldung!$D$46&amp;", "&amp;Anmeldung!$E$46&amp;" / "&amp;Anmeldung!$G$46&amp;" / "&amp;Anmeldung!$J$46,"")</f>
        <v/>
      </c>
      <c r="BR33" t="str">
        <f>IF(AND(38&lt;&gt;18,Anmeldung!$D$46&lt;&gt;"",Anmeldung!$U$46="Ja",Anmeldung!$G$46=Anmeldung!$G$26,Anmeldung!$J$46=Anmeldung!$J$26),Anmeldung!$B$46&amp;": "&amp;Anmeldung!$D$46&amp;", "&amp;Anmeldung!$E$46&amp;" / "&amp;Anmeldung!$G$46&amp;" / "&amp;Anmeldung!$J$46,"")</f>
        <v/>
      </c>
      <c r="BU33" t="str">
        <f>IF(AND(39&lt;&gt;20,Anmeldung!$D$46&lt;&gt;"",Anmeldung!$G$46=Anmeldung!$G$27,Anmeldung!$J$46=Anmeldung!$J$27),Anmeldung!$B$46&amp;": "&amp;Anmeldung!$D$46&amp;", "&amp;Anmeldung!$E$46&amp;" / "&amp;Anmeldung!$G$46&amp;" / "&amp;Anmeldung!$J$46,"")</f>
        <v/>
      </c>
      <c r="BV33" t="str">
        <f>IF(AND(39&lt;&gt;20,Anmeldung!$D$46&lt;&gt;"",Anmeldung!$G$46=Anmeldung!$G$27,Anmeldung!$J$46=Anmeldung!$J$27,(Anmeldung!$B$46&amp;": "&amp;Anmeldung!$D$46&amp;", "&amp;Anmeldung!$E$46&amp;" / "&amp;Anmeldung!$G$46&amp;" / "&amp;Anmeldung!$J$46)&lt;&gt;Anmeldung!$P$27),Anmeldung!$B$46&amp;": "&amp;Anmeldung!$D$46&amp;", "&amp;Anmeldung!$E$46&amp;" / "&amp;Anmeldung!$G$46&amp;" / "&amp;Anmeldung!$J$46,"")</f>
        <v/>
      </c>
      <c r="BW33" t="str">
        <f>IF(AND(39&lt;&gt;20,Anmeldung!$D$46&lt;&gt;"",Anmeldung!$G$46=Anmeldung!$G$27,Anmeldung!$J$46=Anmeldung!$J$27,(Anmeldung!$B$46&amp;": "&amp;Anmeldung!$D$46&amp;", "&amp;Anmeldung!$E$46&amp;" / "&amp;Anmeldung!$G$46&amp;" / "&amp;Anmeldung!$J$46)&lt;&gt;Anmeldung!$O$27),Anmeldung!$B$46&amp;": "&amp;Anmeldung!$D$46&amp;", "&amp;Anmeldung!$E$46&amp;" / "&amp;Anmeldung!$G$46&amp;" / "&amp;Anmeldung!$J$46,"")</f>
        <v/>
      </c>
      <c r="BX33" t="str">
        <f>IF(AND(39&lt;&gt;20,Anmeldung!$D$46&lt;&gt;"",Anmeldung!$G$46&lt;&gt;Anmeldung!$G$27,(Anmeldung!$B$46&amp;": "&amp;Anmeldung!$D$46&amp;", "&amp;Anmeldung!$E$46&amp;" / "&amp;Anmeldung!$G$46&amp;" / "&amp;Anmeldung!$J$46)&lt;&gt;Anmeldung!$S$27),Anmeldung!$B$46&amp;": "&amp;Anmeldung!$D$46&amp;", "&amp;Anmeldung!$E$46&amp;" / "&amp;Anmeldung!$G$46&amp;" / "&amp;Anmeldung!$J$46,"")</f>
        <v/>
      </c>
      <c r="BY33" t="str">
        <f>IF(AND(39&lt;&gt;20,Anmeldung!$D$46&lt;&gt;"",(Anmeldung!$B$46&amp;": "&amp;Anmeldung!$D$46&amp;", "&amp;Anmeldung!$E$46&amp;" / "&amp;Anmeldung!$G$46&amp;" / "&amp;Anmeldung!$J$46)&lt;&gt;Anmeldung!$R$27),Anmeldung!$B$46&amp;": "&amp;Anmeldung!$D$46&amp;", "&amp;Anmeldung!$E$46&amp;" / "&amp;Anmeldung!$G$46&amp;" / "&amp;Anmeldung!$J$46,"")</f>
        <v/>
      </c>
      <c r="BZ33" t="str">
        <f>IF(AND(38&lt;&gt;19,Anmeldung!$D$46&lt;&gt;"",Anmeldung!$U$46="Ja",Anmeldung!$G$46=Anmeldung!$G$27,Anmeldung!$J$46=Anmeldung!$J$27),Anmeldung!$B$46&amp;": "&amp;Anmeldung!$D$46&amp;", "&amp;Anmeldung!$E$46&amp;" / "&amp;Anmeldung!$G$46&amp;" / "&amp;Anmeldung!$J$46,"")</f>
        <v/>
      </c>
      <c r="CC33" t="str">
        <f>IF(AND(39&lt;&gt;21,Anmeldung!$D$46&lt;&gt;"",Anmeldung!$G$46=Anmeldung!$G$28,Anmeldung!$J$46=Anmeldung!$J$28),Anmeldung!$B$46&amp;": "&amp;Anmeldung!$D$46&amp;", "&amp;Anmeldung!$E$46&amp;" / "&amp;Anmeldung!$G$46&amp;" / "&amp;Anmeldung!$J$46,"")</f>
        <v/>
      </c>
      <c r="CD33" t="str">
        <f>IF(AND(39&lt;&gt;21,Anmeldung!$D$46&lt;&gt;"",Anmeldung!$G$46=Anmeldung!$G$28,Anmeldung!$J$46=Anmeldung!$J$28,(Anmeldung!$B$46&amp;": "&amp;Anmeldung!$D$46&amp;", "&amp;Anmeldung!$E$46&amp;" / "&amp;Anmeldung!$G$46&amp;" / "&amp;Anmeldung!$J$46)&lt;&gt;Anmeldung!$P$28),Anmeldung!$B$46&amp;": "&amp;Anmeldung!$D$46&amp;", "&amp;Anmeldung!$E$46&amp;" / "&amp;Anmeldung!$G$46&amp;" / "&amp;Anmeldung!$J$46,"")</f>
        <v/>
      </c>
      <c r="CE33" t="str">
        <f>IF(AND(39&lt;&gt;21,Anmeldung!$D$46&lt;&gt;"",Anmeldung!$G$46=Anmeldung!$G$28,Anmeldung!$J$46=Anmeldung!$J$28,(Anmeldung!$B$46&amp;": "&amp;Anmeldung!$D$46&amp;", "&amp;Anmeldung!$E$46&amp;" / "&amp;Anmeldung!$G$46&amp;" / "&amp;Anmeldung!$J$46)&lt;&gt;Anmeldung!$O$28),Anmeldung!$B$46&amp;": "&amp;Anmeldung!$D$46&amp;", "&amp;Anmeldung!$E$46&amp;" / "&amp;Anmeldung!$G$46&amp;" / "&amp;Anmeldung!$J$46,"")</f>
        <v/>
      </c>
      <c r="CF33" t="str">
        <f>IF(AND(39&lt;&gt;21,Anmeldung!$D$46&lt;&gt;"",Anmeldung!$G$46&lt;&gt;Anmeldung!$G$28,(Anmeldung!$B$46&amp;": "&amp;Anmeldung!$D$46&amp;", "&amp;Anmeldung!$E$46&amp;" / "&amp;Anmeldung!$G$46&amp;" / "&amp;Anmeldung!$J$46)&lt;&gt;Anmeldung!$S$28),Anmeldung!$B$46&amp;": "&amp;Anmeldung!$D$46&amp;", "&amp;Anmeldung!$E$46&amp;" / "&amp;Anmeldung!$G$46&amp;" / "&amp;Anmeldung!$J$46,"")</f>
        <v/>
      </c>
      <c r="CG33" t="str">
        <f>IF(AND(39&lt;&gt;21,Anmeldung!$D$46&lt;&gt;"",(Anmeldung!$B$46&amp;": "&amp;Anmeldung!$D$46&amp;", "&amp;Anmeldung!$E$46&amp;" / "&amp;Anmeldung!$G$46&amp;" / "&amp;Anmeldung!$J$46)&lt;&gt;Anmeldung!$R$28),Anmeldung!$B$46&amp;": "&amp;Anmeldung!$D$46&amp;", "&amp;Anmeldung!$E$46&amp;" / "&amp;Anmeldung!$G$46&amp;" / "&amp;Anmeldung!$J$46,"")</f>
        <v/>
      </c>
      <c r="CH33" t="str">
        <f>IF(AND(38&lt;&gt;20,Anmeldung!$D$46&lt;&gt;"",Anmeldung!$U$46="Ja",Anmeldung!$G$46=Anmeldung!$G$28,Anmeldung!$J$46=Anmeldung!$J$28),Anmeldung!$B$46&amp;": "&amp;Anmeldung!$D$46&amp;", "&amp;Anmeldung!$E$46&amp;" / "&amp;Anmeldung!$G$46&amp;" / "&amp;Anmeldung!$J$46,"")</f>
        <v/>
      </c>
      <c r="CK33" t="str">
        <f>IF(AND(39&lt;&gt;22,Anmeldung!$D$46&lt;&gt;"",Anmeldung!$G$46=Anmeldung!$G$29,Anmeldung!$J$46=Anmeldung!$J$29),Anmeldung!$B$46&amp;": "&amp;Anmeldung!$D$46&amp;", "&amp;Anmeldung!$E$46&amp;" / "&amp;Anmeldung!$G$46&amp;" / "&amp;Anmeldung!$J$46,"")</f>
        <v/>
      </c>
      <c r="CL33" t="str">
        <f>IF(AND(39&lt;&gt;22,Anmeldung!$D$46&lt;&gt;"",Anmeldung!$G$46=Anmeldung!$G$29,Anmeldung!$J$46=Anmeldung!$J$29,(Anmeldung!$B$46&amp;": "&amp;Anmeldung!$D$46&amp;", "&amp;Anmeldung!$E$46&amp;" / "&amp;Anmeldung!$G$46&amp;" / "&amp;Anmeldung!$J$46)&lt;&gt;Anmeldung!$P$29),Anmeldung!$B$46&amp;": "&amp;Anmeldung!$D$46&amp;", "&amp;Anmeldung!$E$46&amp;" / "&amp;Anmeldung!$G$46&amp;" / "&amp;Anmeldung!$J$46,"")</f>
        <v/>
      </c>
      <c r="CM33" t="str">
        <f>IF(AND(39&lt;&gt;22,Anmeldung!$D$46&lt;&gt;"",Anmeldung!$G$46=Anmeldung!$G$29,Anmeldung!$J$46=Anmeldung!$J$29,(Anmeldung!$B$46&amp;": "&amp;Anmeldung!$D$46&amp;", "&amp;Anmeldung!$E$46&amp;" / "&amp;Anmeldung!$G$46&amp;" / "&amp;Anmeldung!$J$46)&lt;&gt;Anmeldung!$O$29),Anmeldung!$B$46&amp;": "&amp;Anmeldung!$D$46&amp;", "&amp;Anmeldung!$E$46&amp;" / "&amp;Anmeldung!$G$46&amp;" / "&amp;Anmeldung!$J$46,"")</f>
        <v/>
      </c>
      <c r="CN33" t="str">
        <f>IF(AND(39&lt;&gt;22,Anmeldung!$D$46&lt;&gt;"",Anmeldung!$G$46&lt;&gt;Anmeldung!$G$29,(Anmeldung!$B$46&amp;": "&amp;Anmeldung!$D$46&amp;", "&amp;Anmeldung!$E$46&amp;" / "&amp;Anmeldung!$G$46&amp;" / "&amp;Anmeldung!$J$46)&lt;&gt;Anmeldung!$S$29),Anmeldung!$B$46&amp;": "&amp;Anmeldung!$D$46&amp;", "&amp;Anmeldung!$E$46&amp;" / "&amp;Anmeldung!$G$46&amp;" / "&amp;Anmeldung!$J$46,"")</f>
        <v/>
      </c>
      <c r="CO33" t="str">
        <f>IF(AND(39&lt;&gt;22,Anmeldung!$D$46&lt;&gt;"",(Anmeldung!$B$46&amp;": "&amp;Anmeldung!$D$46&amp;", "&amp;Anmeldung!$E$46&amp;" / "&amp;Anmeldung!$G$46&amp;" / "&amp;Anmeldung!$J$46)&lt;&gt;Anmeldung!$R$29),Anmeldung!$B$46&amp;": "&amp;Anmeldung!$D$46&amp;", "&amp;Anmeldung!$E$46&amp;" / "&amp;Anmeldung!$G$46&amp;" / "&amp;Anmeldung!$J$46,"")</f>
        <v/>
      </c>
      <c r="CP33" t="str">
        <f>IF(AND(38&lt;&gt;21,Anmeldung!$D$46&lt;&gt;"",Anmeldung!$U$46="Ja",Anmeldung!$G$46=Anmeldung!$G$29,Anmeldung!$J$46=Anmeldung!$J$29),Anmeldung!$B$46&amp;": "&amp;Anmeldung!$D$46&amp;", "&amp;Anmeldung!$E$46&amp;" / "&amp;Anmeldung!$G$46&amp;" / "&amp;Anmeldung!$J$46,"")</f>
        <v/>
      </c>
      <c r="CS33" t="str">
        <f>IF(AND(39&lt;&gt;23,Anmeldung!$D$46&lt;&gt;"",Anmeldung!$G$46=Anmeldung!$G$30,Anmeldung!$J$46=Anmeldung!$J$30),Anmeldung!$B$46&amp;": "&amp;Anmeldung!$D$46&amp;", "&amp;Anmeldung!$E$46&amp;" / "&amp;Anmeldung!$G$46&amp;" / "&amp;Anmeldung!$J$46,"")</f>
        <v/>
      </c>
      <c r="CT33" t="str">
        <f>IF(AND(39&lt;&gt;23,Anmeldung!$D$46&lt;&gt;"",Anmeldung!$G$46=Anmeldung!$G$30,Anmeldung!$J$46=Anmeldung!$J$30,(Anmeldung!$B$46&amp;": "&amp;Anmeldung!$D$46&amp;", "&amp;Anmeldung!$E$46&amp;" / "&amp;Anmeldung!$G$46&amp;" / "&amp;Anmeldung!$J$46)&lt;&gt;Anmeldung!$P$30),Anmeldung!$B$46&amp;": "&amp;Anmeldung!$D$46&amp;", "&amp;Anmeldung!$E$46&amp;" / "&amp;Anmeldung!$G$46&amp;" / "&amp;Anmeldung!$J$46,"")</f>
        <v/>
      </c>
      <c r="CU33" t="str">
        <f>IF(AND(39&lt;&gt;23,Anmeldung!$D$46&lt;&gt;"",Anmeldung!$G$46=Anmeldung!$G$30,Anmeldung!$J$46=Anmeldung!$J$30,(Anmeldung!$B$46&amp;": "&amp;Anmeldung!$D$46&amp;", "&amp;Anmeldung!$E$46&amp;" / "&amp;Anmeldung!$G$46&amp;" / "&amp;Anmeldung!$J$46)&lt;&gt;Anmeldung!$O$30),Anmeldung!$B$46&amp;": "&amp;Anmeldung!$D$46&amp;", "&amp;Anmeldung!$E$46&amp;" / "&amp;Anmeldung!$G$46&amp;" / "&amp;Anmeldung!$J$46,"")</f>
        <v/>
      </c>
      <c r="CV33" t="str">
        <f>IF(AND(39&lt;&gt;23,Anmeldung!$D$46&lt;&gt;"",Anmeldung!$G$46&lt;&gt;Anmeldung!$G$30,(Anmeldung!$B$46&amp;": "&amp;Anmeldung!$D$46&amp;", "&amp;Anmeldung!$E$46&amp;" / "&amp;Anmeldung!$G$46&amp;" / "&amp;Anmeldung!$J$46)&lt;&gt;Anmeldung!$S$30),Anmeldung!$B$46&amp;": "&amp;Anmeldung!$D$46&amp;", "&amp;Anmeldung!$E$46&amp;" / "&amp;Anmeldung!$G$46&amp;" / "&amp;Anmeldung!$J$46,"")</f>
        <v/>
      </c>
      <c r="CW33" t="str">
        <f>IF(AND(39&lt;&gt;23,Anmeldung!$D$46&lt;&gt;"",(Anmeldung!$B$46&amp;": "&amp;Anmeldung!$D$46&amp;", "&amp;Anmeldung!$E$46&amp;" / "&amp;Anmeldung!$G$46&amp;" / "&amp;Anmeldung!$J$46)&lt;&gt;Anmeldung!$R$30),Anmeldung!$B$46&amp;": "&amp;Anmeldung!$D$46&amp;", "&amp;Anmeldung!$E$46&amp;" / "&amp;Anmeldung!$G$46&amp;" / "&amp;Anmeldung!$J$46,"")</f>
        <v/>
      </c>
      <c r="CX33" t="str">
        <f>IF(AND(38&lt;&gt;22,Anmeldung!$D$46&lt;&gt;"",Anmeldung!$U$46="Ja",Anmeldung!$G$46=Anmeldung!$G$30,Anmeldung!$J$46=Anmeldung!$J$30),Anmeldung!$B$46&amp;": "&amp;Anmeldung!$D$46&amp;", "&amp;Anmeldung!$E$46&amp;" / "&amp;Anmeldung!$G$46&amp;" / "&amp;Anmeldung!$J$46,"")</f>
        <v/>
      </c>
      <c r="DA33" t="str">
        <f>IF(AND(39&lt;&gt;24,Anmeldung!$D$46&lt;&gt;"",Anmeldung!$G$46=Anmeldung!$G$31,Anmeldung!$J$46=Anmeldung!$J$31),Anmeldung!$B$46&amp;": "&amp;Anmeldung!$D$46&amp;", "&amp;Anmeldung!$E$46&amp;" / "&amp;Anmeldung!$G$46&amp;" / "&amp;Anmeldung!$J$46,"")</f>
        <v/>
      </c>
      <c r="DB33" t="str">
        <f>IF(AND(39&lt;&gt;24,Anmeldung!$D$46&lt;&gt;"",Anmeldung!$G$46=Anmeldung!$G$31,Anmeldung!$J$46=Anmeldung!$J$31,(Anmeldung!$B$46&amp;": "&amp;Anmeldung!$D$46&amp;", "&amp;Anmeldung!$E$46&amp;" / "&amp;Anmeldung!$G$46&amp;" / "&amp;Anmeldung!$J$46)&lt;&gt;Anmeldung!$P$31),Anmeldung!$B$46&amp;": "&amp;Anmeldung!$D$46&amp;", "&amp;Anmeldung!$E$46&amp;" / "&amp;Anmeldung!$G$46&amp;" / "&amp;Anmeldung!$J$46,"")</f>
        <v/>
      </c>
      <c r="DC33" t="str">
        <f>IF(AND(39&lt;&gt;24,Anmeldung!$D$46&lt;&gt;"",Anmeldung!$G$46=Anmeldung!$G$31,Anmeldung!$J$46=Anmeldung!$J$31,(Anmeldung!$B$46&amp;": "&amp;Anmeldung!$D$46&amp;", "&amp;Anmeldung!$E$46&amp;" / "&amp;Anmeldung!$G$46&amp;" / "&amp;Anmeldung!$J$46)&lt;&gt;Anmeldung!$O$31),Anmeldung!$B$46&amp;": "&amp;Anmeldung!$D$46&amp;", "&amp;Anmeldung!$E$46&amp;" / "&amp;Anmeldung!$G$46&amp;" / "&amp;Anmeldung!$J$46,"")</f>
        <v/>
      </c>
      <c r="DD33" t="str">
        <f>IF(AND(39&lt;&gt;24,Anmeldung!$D$46&lt;&gt;"",Anmeldung!$G$46&lt;&gt;Anmeldung!$G$31,(Anmeldung!$B$46&amp;": "&amp;Anmeldung!$D$46&amp;", "&amp;Anmeldung!$E$46&amp;" / "&amp;Anmeldung!$G$46&amp;" / "&amp;Anmeldung!$J$46)&lt;&gt;Anmeldung!$S$31),Anmeldung!$B$46&amp;": "&amp;Anmeldung!$D$46&amp;", "&amp;Anmeldung!$E$46&amp;" / "&amp;Anmeldung!$G$46&amp;" / "&amp;Anmeldung!$J$46,"")</f>
        <v/>
      </c>
      <c r="DE33" t="str">
        <f>IF(AND(39&lt;&gt;24,Anmeldung!$D$46&lt;&gt;"",(Anmeldung!$B$46&amp;": "&amp;Anmeldung!$D$46&amp;", "&amp;Anmeldung!$E$46&amp;" / "&amp;Anmeldung!$G$46&amp;" / "&amp;Anmeldung!$J$46)&lt;&gt;Anmeldung!$R$31),Anmeldung!$B$46&amp;": "&amp;Anmeldung!$D$46&amp;", "&amp;Anmeldung!$E$46&amp;" / "&amp;Anmeldung!$G$46&amp;" / "&amp;Anmeldung!$J$46,"")</f>
        <v/>
      </c>
      <c r="DF33" t="str">
        <f>IF(AND(38&lt;&gt;23,Anmeldung!$D$46&lt;&gt;"",Anmeldung!$U$46="Ja",Anmeldung!$G$46=Anmeldung!$G$31,Anmeldung!$J$46=Anmeldung!$J$31),Anmeldung!$B$46&amp;": "&amp;Anmeldung!$D$46&amp;", "&amp;Anmeldung!$E$46&amp;" / "&amp;Anmeldung!$G$46&amp;" / "&amp;Anmeldung!$J$46,"")</f>
        <v/>
      </c>
      <c r="DI33" t="str">
        <f>IF(AND(39&lt;&gt;25,Anmeldung!$D$46&lt;&gt;"",Anmeldung!$G$46=Anmeldung!$G$32,Anmeldung!$J$46=Anmeldung!$J$32),Anmeldung!$B$46&amp;": "&amp;Anmeldung!$D$46&amp;", "&amp;Anmeldung!$E$46&amp;" / "&amp;Anmeldung!$G$46&amp;" / "&amp;Anmeldung!$J$46,"")</f>
        <v/>
      </c>
      <c r="DJ33" t="str">
        <f>IF(AND(39&lt;&gt;25,Anmeldung!$D$46&lt;&gt;"",Anmeldung!$G$46=Anmeldung!$G$32,Anmeldung!$J$46=Anmeldung!$J$32,(Anmeldung!$B$46&amp;": "&amp;Anmeldung!$D$46&amp;", "&amp;Anmeldung!$E$46&amp;" / "&amp;Anmeldung!$G$46&amp;" / "&amp;Anmeldung!$J$46)&lt;&gt;Anmeldung!$P$32),Anmeldung!$B$46&amp;": "&amp;Anmeldung!$D$46&amp;", "&amp;Anmeldung!$E$46&amp;" / "&amp;Anmeldung!$G$46&amp;" / "&amp;Anmeldung!$J$46,"")</f>
        <v/>
      </c>
      <c r="DK33" t="str">
        <f>IF(AND(39&lt;&gt;25,Anmeldung!$D$46&lt;&gt;"",Anmeldung!$G$46=Anmeldung!$G$32,Anmeldung!$J$46=Anmeldung!$J$32,(Anmeldung!$B$46&amp;": "&amp;Anmeldung!$D$46&amp;", "&amp;Anmeldung!$E$46&amp;" / "&amp;Anmeldung!$G$46&amp;" / "&amp;Anmeldung!$J$46)&lt;&gt;Anmeldung!$O$32),Anmeldung!$B$46&amp;": "&amp;Anmeldung!$D$46&amp;", "&amp;Anmeldung!$E$46&amp;" / "&amp;Anmeldung!$G$46&amp;" / "&amp;Anmeldung!$J$46,"")</f>
        <v/>
      </c>
      <c r="DL33" t="str">
        <f>IF(AND(39&lt;&gt;25,Anmeldung!$D$46&lt;&gt;"",Anmeldung!$G$46&lt;&gt;Anmeldung!$G$32,(Anmeldung!$B$46&amp;": "&amp;Anmeldung!$D$46&amp;", "&amp;Anmeldung!$E$46&amp;" / "&amp;Anmeldung!$G$46&amp;" / "&amp;Anmeldung!$J$46)&lt;&gt;Anmeldung!$S$32),Anmeldung!$B$46&amp;": "&amp;Anmeldung!$D$46&amp;", "&amp;Anmeldung!$E$46&amp;" / "&amp;Anmeldung!$G$46&amp;" / "&amp;Anmeldung!$J$46,"")</f>
        <v/>
      </c>
      <c r="DM33" t="str">
        <f>IF(AND(39&lt;&gt;25,Anmeldung!$D$46&lt;&gt;"",(Anmeldung!$B$46&amp;": "&amp;Anmeldung!$D$46&amp;", "&amp;Anmeldung!$E$46&amp;" / "&amp;Anmeldung!$G$46&amp;" / "&amp;Anmeldung!$J$46)&lt;&gt;Anmeldung!$R$32),Anmeldung!$B$46&amp;": "&amp;Anmeldung!$D$46&amp;", "&amp;Anmeldung!$E$46&amp;" / "&amp;Anmeldung!$G$46&amp;" / "&amp;Anmeldung!$J$46,"")</f>
        <v/>
      </c>
      <c r="DN33" t="str">
        <f>IF(AND(38&lt;&gt;24,Anmeldung!$D$46&lt;&gt;"",Anmeldung!$U$46="Ja",Anmeldung!$G$46=Anmeldung!$G$32,Anmeldung!$J$46=Anmeldung!$J$32),Anmeldung!$B$46&amp;": "&amp;Anmeldung!$D$46&amp;", "&amp;Anmeldung!$E$46&amp;" / "&amp;Anmeldung!$G$46&amp;" / "&amp;Anmeldung!$J$46,"")</f>
        <v/>
      </c>
      <c r="DQ33" t="str">
        <f>IF(AND(39&lt;&gt;26,Anmeldung!$D$46&lt;&gt;"",Anmeldung!$G$46=Anmeldung!$G$33,Anmeldung!$J$46=Anmeldung!$J$33),Anmeldung!$B$46&amp;": "&amp;Anmeldung!$D$46&amp;", "&amp;Anmeldung!$E$46&amp;" / "&amp;Anmeldung!$G$46&amp;" / "&amp;Anmeldung!$J$46,"")</f>
        <v/>
      </c>
      <c r="DR33" t="str">
        <f>IF(AND(39&lt;&gt;26,Anmeldung!$D$46&lt;&gt;"",Anmeldung!$G$46=Anmeldung!$G$33,Anmeldung!$J$46=Anmeldung!$J$33,(Anmeldung!$B$46&amp;": "&amp;Anmeldung!$D$46&amp;", "&amp;Anmeldung!$E$46&amp;" / "&amp;Anmeldung!$G$46&amp;" / "&amp;Anmeldung!$J$46)&lt;&gt;Anmeldung!$P$33),Anmeldung!$B$46&amp;": "&amp;Anmeldung!$D$46&amp;", "&amp;Anmeldung!$E$46&amp;" / "&amp;Anmeldung!$G$46&amp;" / "&amp;Anmeldung!$J$46,"")</f>
        <v/>
      </c>
      <c r="DS33" t="str">
        <f>IF(AND(39&lt;&gt;26,Anmeldung!$D$46&lt;&gt;"",Anmeldung!$G$46=Anmeldung!$G$33,Anmeldung!$J$46=Anmeldung!$J$33,(Anmeldung!$B$46&amp;": "&amp;Anmeldung!$D$46&amp;", "&amp;Anmeldung!$E$46&amp;" / "&amp;Anmeldung!$G$46&amp;" / "&amp;Anmeldung!$J$46)&lt;&gt;Anmeldung!$O$33),Anmeldung!$B$46&amp;": "&amp;Anmeldung!$D$46&amp;", "&amp;Anmeldung!$E$46&amp;" / "&amp;Anmeldung!$G$46&amp;" / "&amp;Anmeldung!$J$46,"")</f>
        <v/>
      </c>
      <c r="DT33" t="str">
        <f>IF(AND(39&lt;&gt;26,Anmeldung!$D$46&lt;&gt;"",Anmeldung!$G$46&lt;&gt;Anmeldung!$G$33,(Anmeldung!$B$46&amp;": "&amp;Anmeldung!$D$46&amp;", "&amp;Anmeldung!$E$46&amp;" / "&amp;Anmeldung!$G$46&amp;" / "&amp;Anmeldung!$J$46)&lt;&gt;Anmeldung!$S$33),Anmeldung!$B$46&amp;": "&amp;Anmeldung!$D$46&amp;", "&amp;Anmeldung!$E$46&amp;" / "&amp;Anmeldung!$G$46&amp;" / "&amp;Anmeldung!$J$46,"")</f>
        <v/>
      </c>
      <c r="DU33" t="str">
        <f>IF(AND(39&lt;&gt;26,Anmeldung!$D$46&lt;&gt;"",(Anmeldung!$B$46&amp;": "&amp;Anmeldung!$D$46&amp;", "&amp;Anmeldung!$E$46&amp;" / "&amp;Anmeldung!$G$46&amp;" / "&amp;Anmeldung!$J$46)&lt;&gt;Anmeldung!$R$33),Anmeldung!$B$46&amp;": "&amp;Anmeldung!$D$46&amp;", "&amp;Anmeldung!$E$46&amp;" / "&amp;Anmeldung!$G$46&amp;" / "&amp;Anmeldung!$J$46,"")</f>
        <v/>
      </c>
      <c r="DV33" t="str">
        <f>IF(AND(38&lt;&gt;25,Anmeldung!$D$46&lt;&gt;"",Anmeldung!$U$46="Ja",Anmeldung!$G$46=Anmeldung!$G$33,Anmeldung!$J$46=Anmeldung!$J$33),Anmeldung!$B$46&amp;": "&amp;Anmeldung!$D$46&amp;", "&amp;Anmeldung!$E$46&amp;" / "&amp;Anmeldung!$G$46&amp;" / "&amp;Anmeldung!$J$46,"")</f>
        <v/>
      </c>
      <c r="DY33" t="str">
        <f>IF(AND(39&lt;&gt;27,Anmeldung!$D$46&lt;&gt;"",Anmeldung!$G$46=Anmeldung!$G$34,Anmeldung!$J$46=Anmeldung!$J$34),Anmeldung!$B$46&amp;": "&amp;Anmeldung!$D$46&amp;", "&amp;Anmeldung!$E$46&amp;" / "&amp;Anmeldung!$G$46&amp;" / "&amp;Anmeldung!$J$46,"")</f>
        <v/>
      </c>
      <c r="DZ33" t="str">
        <f>IF(AND(39&lt;&gt;27,Anmeldung!$D$46&lt;&gt;"",Anmeldung!$G$46=Anmeldung!$G$34,Anmeldung!$J$46=Anmeldung!$J$34,(Anmeldung!$B$46&amp;": "&amp;Anmeldung!$D$46&amp;", "&amp;Anmeldung!$E$46&amp;" / "&amp;Anmeldung!$G$46&amp;" / "&amp;Anmeldung!$J$46)&lt;&gt;Anmeldung!$P$34),Anmeldung!$B$46&amp;": "&amp;Anmeldung!$D$46&amp;", "&amp;Anmeldung!$E$46&amp;" / "&amp;Anmeldung!$G$46&amp;" / "&amp;Anmeldung!$J$46,"")</f>
        <v/>
      </c>
      <c r="EA33" t="str">
        <f>IF(AND(39&lt;&gt;27,Anmeldung!$D$46&lt;&gt;"",Anmeldung!$G$46=Anmeldung!$G$34,Anmeldung!$J$46=Anmeldung!$J$34,(Anmeldung!$B$46&amp;": "&amp;Anmeldung!$D$46&amp;", "&amp;Anmeldung!$E$46&amp;" / "&amp;Anmeldung!$G$46&amp;" / "&amp;Anmeldung!$J$46)&lt;&gt;Anmeldung!$O$34),Anmeldung!$B$46&amp;": "&amp;Anmeldung!$D$46&amp;", "&amp;Anmeldung!$E$46&amp;" / "&amp;Anmeldung!$G$46&amp;" / "&amp;Anmeldung!$J$46,"")</f>
        <v/>
      </c>
      <c r="EB33" t="str">
        <f>IF(AND(39&lt;&gt;27,Anmeldung!$D$46&lt;&gt;"",Anmeldung!$G$46&lt;&gt;Anmeldung!$G$34,(Anmeldung!$B$46&amp;": "&amp;Anmeldung!$D$46&amp;", "&amp;Anmeldung!$E$46&amp;" / "&amp;Anmeldung!$G$46&amp;" / "&amp;Anmeldung!$J$46)&lt;&gt;Anmeldung!$S$34),Anmeldung!$B$46&amp;": "&amp;Anmeldung!$D$46&amp;", "&amp;Anmeldung!$E$46&amp;" / "&amp;Anmeldung!$G$46&amp;" / "&amp;Anmeldung!$J$46,"")</f>
        <v/>
      </c>
      <c r="EC33" t="str">
        <f>IF(AND(39&lt;&gt;27,Anmeldung!$D$46&lt;&gt;"",(Anmeldung!$B$46&amp;": "&amp;Anmeldung!$D$46&amp;", "&amp;Anmeldung!$E$46&amp;" / "&amp;Anmeldung!$G$46&amp;" / "&amp;Anmeldung!$J$46)&lt;&gt;Anmeldung!$R$34),Anmeldung!$B$46&amp;": "&amp;Anmeldung!$D$46&amp;", "&amp;Anmeldung!$E$46&amp;" / "&amp;Anmeldung!$G$46&amp;" / "&amp;Anmeldung!$J$46,"")</f>
        <v/>
      </c>
      <c r="ED33" t="str">
        <f>IF(AND(38&lt;&gt;26,Anmeldung!$D$46&lt;&gt;"",Anmeldung!$U$46="Ja",Anmeldung!$G$46=Anmeldung!$G$34,Anmeldung!$J$46=Anmeldung!$J$34),Anmeldung!$B$46&amp;": "&amp;Anmeldung!$D$46&amp;", "&amp;Anmeldung!$E$46&amp;" / "&amp;Anmeldung!$G$46&amp;" / "&amp;Anmeldung!$J$46,"")</f>
        <v/>
      </c>
      <c r="EG33" t="str">
        <f>IF(AND(39&lt;&gt;28,Anmeldung!$D$46&lt;&gt;"",Anmeldung!$G$46=Anmeldung!$G$35,Anmeldung!$J$46=Anmeldung!$J$35),Anmeldung!$B$46&amp;": "&amp;Anmeldung!$D$46&amp;", "&amp;Anmeldung!$E$46&amp;" / "&amp;Anmeldung!$G$46&amp;" / "&amp;Anmeldung!$J$46,"")</f>
        <v/>
      </c>
      <c r="EH33" t="str">
        <f>IF(AND(39&lt;&gt;28,Anmeldung!$D$46&lt;&gt;"",Anmeldung!$G$46=Anmeldung!$G$35,Anmeldung!$J$46=Anmeldung!$J$35,(Anmeldung!$B$46&amp;": "&amp;Anmeldung!$D$46&amp;", "&amp;Anmeldung!$E$46&amp;" / "&amp;Anmeldung!$G$46&amp;" / "&amp;Anmeldung!$J$46)&lt;&gt;Anmeldung!$P$35),Anmeldung!$B$46&amp;": "&amp;Anmeldung!$D$46&amp;", "&amp;Anmeldung!$E$46&amp;" / "&amp;Anmeldung!$G$46&amp;" / "&amp;Anmeldung!$J$46,"")</f>
        <v/>
      </c>
      <c r="EI33" t="str">
        <f>IF(AND(39&lt;&gt;28,Anmeldung!$D$46&lt;&gt;"",Anmeldung!$G$46=Anmeldung!$G$35,Anmeldung!$J$46=Anmeldung!$J$35,(Anmeldung!$B$46&amp;": "&amp;Anmeldung!$D$46&amp;", "&amp;Anmeldung!$E$46&amp;" / "&amp;Anmeldung!$G$46&amp;" / "&amp;Anmeldung!$J$46)&lt;&gt;Anmeldung!$O$35),Anmeldung!$B$46&amp;": "&amp;Anmeldung!$D$46&amp;", "&amp;Anmeldung!$E$46&amp;" / "&amp;Anmeldung!$G$46&amp;" / "&amp;Anmeldung!$J$46,"")</f>
        <v/>
      </c>
      <c r="EJ33" t="str">
        <f>IF(AND(39&lt;&gt;28,Anmeldung!$D$46&lt;&gt;"",Anmeldung!$G$46&lt;&gt;Anmeldung!$G$35,(Anmeldung!$B$46&amp;": "&amp;Anmeldung!$D$46&amp;", "&amp;Anmeldung!$E$46&amp;" / "&amp;Anmeldung!$G$46&amp;" / "&amp;Anmeldung!$J$46)&lt;&gt;Anmeldung!$S$35),Anmeldung!$B$46&amp;": "&amp;Anmeldung!$D$46&amp;", "&amp;Anmeldung!$E$46&amp;" / "&amp;Anmeldung!$G$46&amp;" / "&amp;Anmeldung!$J$46,"")</f>
        <v/>
      </c>
      <c r="EK33" t="str">
        <f>IF(AND(39&lt;&gt;28,Anmeldung!$D$46&lt;&gt;"",(Anmeldung!$B$46&amp;": "&amp;Anmeldung!$D$46&amp;", "&amp;Anmeldung!$E$46&amp;" / "&amp;Anmeldung!$G$46&amp;" / "&amp;Anmeldung!$J$46)&lt;&gt;Anmeldung!$R$35),Anmeldung!$B$46&amp;": "&amp;Anmeldung!$D$46&amp;", "&amp;Anmeldung!$E$46&amp;" / "&amp;Anmeldung!$G$46&amp;" / "&amp;Anmeldung!$J$46,"")</f>
        <v/>
      </c>
      <c r="EL33" t="str">
        <f>IF(AND(38&lt;&gt;27,Anmeldung!$D$46&lt;&gt;"",Anmeldung!$U$46="Ja",Anmeldung!$G$46=Anmeldung!$G$35,Anmeldung!$J$46=Anmeldung!$J$35),Anmeldung!$B$46&amp;": "&amp;Anmeldung!$D$46&amp;", "&amp;Anmeldung!$E$46&amp;" / "&amp;Anmeldung!$G$46&amp;" / "&amp;Anmeldung!$J$46,"")</f>
        <v/>
      </c>
      <c r="EO33" t="str">
        <f>IF(AND(39&lt;&gt;29,Anmeldung!$D$46&lt;&gt;"",Anmeldung!$G$46=Anmeldung!$G$36,Anmeldung!$J$46=Anmeldung!$J$36),Anmeldung!$B$46&amp;": "&amp;Anmeldung!$D$46&amp;", "&amp;Anmeldung!$E$46&amp;" / "&amp;Anmeldung!$G$46&amp;" / "&amp;Anmeldung!$J$46,"")</f>
        <v/>
      </c>
      <c r="EP33" t="str">
        <f>IF(AND(39&lt;&gt;29,Anmeldung!$D$46&lt;&gt;"",Anmeldung!$G$46=Anmeldung!$G$36,Anmeldung!$J$46=Anmeldung!$J$36,(Anmeldung!$B$46&amp;": "&amp;Anmeldung!$D$46&amp;", "&amp;Anmeldung!$E$46&amp;" / "&amp;Anmeldung!$G$46&amp;" / "&amp;Anmeldung!$J$46)&lt;&gt;Anmeldung!$P$36),Anmeldung!$B$46&amp;": "&amp;Anmeldung!$D$46&amp;", "&amp;Anmeldung!$E$46&amp;" / "&amp;Anmeldung!$G$46&amp;" / "&amp;Anmeldung!$J$46,"")</f>
        <v/>
      </c>
      <c r="EQ33" t="str">
        <f>IF(AND(39&lt;&gt;29,Anmeldung!$D$46&lt;&gt;"",Anmeldung!$G$46=Anmeldung!$G$36,Anmeldung!$J$46=Anmeldung!$J$36,(Anmeldung!$B$46&amp;": "&amp;Anmeldung!$D$46&amp;", "&amp;Anmeldung!$E$46&amp;" / "&amp;Anmeldung!$G$46&amp;" / "&amp;Anmeldung!$J$46)&lt;&gt;Anmeldung!$O$36),Anmeldung!$B$46&amp;": "&amp;Anmeldung!$D$46&amp;", "&amp;Anmeldung!$E$46&amp;" / "&amp;Anmeldung!$G$46&amp;" / "&amp;Anmeldung!$J$46,"")</f>
        <v/>
      </c>
      <c r="ER33" t="str">
        <f>IF(AND(39&lt;&gt;29,Anmeldung!$D$46&lt;&gt;"",Anmeldung!$G$46&lt;&gt;Anmeldung!$G$36,(Anmeldung!$B$46&amp;": "&amp;Anmeldung!$D$46&amp;", "&amp;Anmeldung!$E$46&amp;" / "&amp;Anmeldung!$G$46&amp;" / "&amp;Anmeldung!$J$46)&lt;&gt;Anmeldung!$S$36),Anmeldung!$B$46&amp;": "&amp;Anmeldung!$D$46&amp;", "&amp;Anmeldung!$E$46&amp;" / "&amp;Anmeldung!$G$46&amp;" / "&amp;Anmeldung!$J$46,"")</f>
        <v/>
      </c>
      <c r="ES33" t="str">
        <f>IF(AND(39&lt;&gt;29,Anmeldung!$D$46&lt;&gt;"",(Anmeldung!$B$46&amp;": "&amp;Anmeldung!$D$46&amp;", "&amp;Anmeldung!$E$46&amp;" / "&amp;Anmeldung!$G$46&amp;" / "&amp;Anmeldung!$J$46)&lt;&gt;Anmeldung!$R$36),Anmeldung!$B$46&amp;": "&amp;Anmeldung!$D$46&amp;", "&amp;Anmeldung!$E$46&amp;" / "&amp;Anmeldung!$G$46&amp;" / "&amp;Anmeldung!$J$46,"")</f>
        <v/>
      </c>
      <c r="ET33" t="str">
        <f>IF(AND(38&lt;&gt;28,Anmeldung!$D$46&lt;&gt;"",Anmeldung!$U$46="Ja",Anmeldung!$G$46=Anmeldung!$G$36,Anmeldung!$J$46=Anmeldung!$J$36),Anmeldung!$B$46&amp;": "&amp;Anmeldung!$D$46&amp;", "&amp;Anmeldung!$E$46&amp;" / "&amp;Anmeldung!$G$46&amp;" / "&amp;Anmeldung!$J$46,"")</f>
        <v/>
      </c>
      <c r="EW33" t="str">
        <f>IF(AND(39&lt;&gt;30,Anmeldung!$D$46&lt;&gt;"",Anmeldung!$G$46=Anmeldung!$G$37,Anmeldung!$J$46=Anmeldung!$J$37),Anmeldung!$B$46&amp;": "&amp;Anmeldung!$D$46&amp;", "&amp;Anmeldung!$E$46&amp;" / "&amp;Anmeldung!$G$46&amp;" / "&amp;Anmeldung!$J$46,"")</f>
        <v/>
      </c>
      <c r="EX33" t="str">
        <f>IF(AND(39&lt;&gt;30,Anmeldung!$D$46&lt;&gt;"",Anmeldung!$G$46=Anmeldung!$G$37,Anmeldung!$J$46=Anmeldung!$J$37,(Anmeldung!$B$46&amp;": "&amp;Anmeldung!$D$46&amp;", "&amp;Anmeldung!$E$46&amp;" / "&amp;Anmeldung!$G$46&amp;" / "&amp;Anmeldung!$J$46)&lt;&gt;Anmeldung!$P$37),Anmeldung!$B$46&amp;": "&amp;Anmeldung!$D$46&amp;", "&amp;Anmeldung!$E$46&amp;" / "&amp;Anmeldung!$G$46&amp;" / "&amp;Anmeldung!$J$46,"")</f>
        <v/>
      </c>
      <c r="EY33" t="str">
        <f>IF(AND(39&lt;&gt;30,Anmeldung!$D$46&lt;&gt;"",Anmeldung!$G$46=Anmeldung!$G$37,Anmeldung!$J$46=Anmeldung!$J$37,(Anmeldung!$B$46&amp;": "&amp;Anmeldung!$D$46&amp;", "&amp;Anmeldung!$E$46&amp;" / "&amp;Anmeldung!$G$46&amp;" / "&amp;Anmeldung!$J$46)&lt;&gt;Anmeldung!$O$37),Anmeldung!$B$46&amp;": "&amp;Anmeldung!$D$46&amp;", "&amp;Anmeldung!$E$46&amp;" / "&amp;Anmeldung!$G$46&amp;" / "&amp;Anmeldung!$J$46,"")</f>
        <v/>
      </c>
      <c r="EZ33" t="str">
        <f>IF(AND(39&lt;&gt;30,Anmeldung!$D$46&lt;&gt;"",Anmeldung!$G$46&lt;&gt;Anmeldung!$G$37,(Anmeldung!$B$46&amp;": "&amp;Anmeldung!$D$46&amp;", "&amp;Anmeldung!$E$46&amp;" / "&amp;Anmeldung!$G$46&amp;" / "&amp;Anmeldung!$J$46)&lt;&gt;Anmeldung!$S$37),Anmeldung!$B$46&amp;": "&amp;Anmeldung!$D$46&amp;", "&amp;Anmeldung!$E$46&amp;" / "&amp;Anmeldung!$G$46&amp;" / "&amp;Anmeldung!$J$46,"")</f>
        <v/>
      </c>
      <c r="FA33" t="str">
        <f>IF(AND(39&lt;&gt;30,Anmeldung!$D$46&lt;&gt;"",(Anmeldung!$B$46&amp;": "&amp;Anmeldung!$D$46&amp;", "&amp;Anmeldung!$E$46&amp;" / "&amp;Anmeldung!$G$46&amp;" / "&amp;Anmeldung!$J$46)&lt;&gt;Anmeldung!$R$37),Anmeldung!$B$46&amp;": "&amp;Anmeldung!$D$46&amp;", "&amp;Anmeldung!$E$46&amp;" / "&amp;Anmeldung!$G$46&amp;" / "&amp;Anmeldung!$J$46,"")</f>
        <v/>
      </c>
      <c r="FB33" t="str">
        <f>IF(AND(38&lt;&gt;29,Anmeldung!$D$46&lt;&gt;"",Anmeldung!$U$46="Ja",Anmeldung!$G$46=Anmeldung!$G$37,Anmeldung!$J$46=Anmeldung!$J$37),Anmeldung!$B$46&amp;": "&amp;Anmeldung!$D$46&amp;", "&amp;Anmeldung!$E$46&amp;" / "&amp;Anmeldung!$G$46&amp;" / "&amp;Anmeldung!$J$46,"")</f>
        <v/>
      </c>
      <c r="FE33" t="str">
        <f>IF(AND(39&lt;&gt;31,Anmeldung!$D$46&lt;&gt;"",Anmeldung!$G$46=Anmeldung!$G$38,Anmeldung!$J$46=Anmeldung!$J$38),Anmeldung!$B$46&amp;": "&amp;Anmeldung!$D$46&amp;", "&amp;Anmeldung!$E$46&amp;" / "&amp;Anmeldung!$G$46&amp;" / "&amp;Anmeldung!$J$46,"")</f>
        <v/>
      </c>
      <c r="FF33" t="str">
        <f>IF(AND(39&lt;&gt;31,Anmeldung!$D$46&lt;&gt;"",Anmeldung!$G$46=Anmeldung!$G$38,Anmeldung!$J$46=Anmeldung!$J$38,(Anmeldung!$B$46&amp;": "&amp;Anmeldung!$D$46&amp;", "&amp;Anmeldung!$E$46&amp;" / "&amp;Anmeldung!$G$46&amp;" / "&amp;Anmeldung!$J$46)&lt;&gt;Anmeldung!$P$38),Anmeldung!$B$46&amp;": "&amp;Anmeldung!$D$46&amp;", "&amp;Anmeldung!$E$46&amp;" / "&amp;Anmeldung!$G$46&amp;" / "&amp;Anmeldung!$J$46,"")</f>
        <v/>
      </c>
      <c r="FG33" t="str">
        <f>IF(AND(39&lt;&gt;31,Anmeldung!$D$46&lt;&gt;"",Anmeldung!$G$46=Anmeldung!$G$38,Anmeldung!$J$46=Anmeldung!$J$38,(Anmeldung!$B$46&amp;": "&amp;Anmeldung!$D$46&amp;", "&amp;Anmeldung!$E$46&amp;" / "&amp;Anmeldung!$G$46&amp;" / "&amp;Anmeldung!$J$46)&lt;&gt;Anmeldung!$O$38),Anmeldung!$B$46&amp;": "&amp;Anmeldung!$D$46&amp;", "&amp;Anmeldung!$E$46&amp;" / "&amp;Anmeldung!$G$46&amp;" / "&amp;Anmeldung!$J$46,"")</f>
        <v/>
      </c>
      <c r="FH33" t="str">
        <f>IF(AND(39&lt;&gt;31,Anmeldung!$D$46&lt;&gt;"",Anmeldung!$G$46&lt;&gt;Anmeldung!$G$38,(Anmeldung!$B$46&amp;": "&amp;Anmeldung!$D$46&amp;", "&amp;Anmeldung!$E$46&amp;" / "&amp;Anmeldung!$G$46&amp;" / "&amp;Anmeldung!$J$46)&lt;&gt;Anmeldung!$S$38),Anmeldung!$B$46&amp;": "&amp;Anmeldung!$D$46&amp;", "&amp;Anmeldung!$E$46&amp;" / "&amp;Anmeldung!$G$46&amp;" / "&amp;Anmeldung!$J$46,"")</f>
        <v/>
      </c>
      <c r="FI33" t="str">
        <f>IF(AND(39&lt;&gt;31,Anmeldung!$D$46&lt;&gt;"",(Anmeldung!$B$46&amp;": "&amp;Anmeldung!$D$46&amp;", "&amp;Anmeldung!$E$46&amp;" / "&amp;Anmeldung!$G$46&amp;" / "&amp;Anmeldung!$J$46)&lt;&gt;Anmeldung!$R$38),Anmeldung!$B$46&amp;": "&amp;Anmeldung!$D$46&amp;", "&amp;Anmeldung!$E$46&amp;" / "&amp;Anmeldung!$G$46&amp;" / "&amp;Anmeldung!$J$46,"")</f>
        <v/>
      </c>
      <c r="FJ33" t="str">
        <f>IF(AND(38&lt;&gt;30,Anmeldung!$D$46&lt;&gt;"",Anmeldung!$U$46="Ja",Anmeldung!$G$46=Anmeldung!$G$38,Anmeldung!$J$46=Anmeldung!$J$38),Anmeldung!$B$46&amp;": "&amp;Anmeldung!$D$46&amp;", "&amp;Anmeldung!$E$46&amp;" / "&amp;Anmeldung!$G$46&amp;" / "&amp;Anmeldung!$J$46,"")</f>
        <v/>
      </c>
      <c r="FM33" t="str">
        <f>IF(AND(39&lt;&gt;32,Anmeldung!$D$46&lt;&gt;"",Anmeldung!$G$46=Anmeldung!$G$39,Anmeldung!$J$46=Anmeldung!$J$39),Anmeldung!$B$46&amp;": "&amp;Anmeldung!$D$46&amp;", "&amp;Anmeldung!$E$46&amp;" / "&amp;Anmeldung!$G$46&amp;" / "&amp;Anmeldung!$J$46,"")</f>
        <v/>
      </c>
      <c r="FN33" t="str">
        <f>IF(AND(39&lt;&gt;32,Anmeldung!$D$46&lt;&gt;"",Anmeldung!$G$46=Anmeldung!$G$39,Anmeldung!$J$46=Anmeldung!$J$39,(Anmeldung!$B$46&amp;": "&amp;Anmeldung!$D$46&amp;", "&amp;Anmeldung!$E$46&amp;" / "&amp;Anmeldung!$G$46&amp;" / "&amp;Anmeldung!$J$46)&lt;&gt;Anmeldung!$P$39),Anmeldung!$B$46&amp;": "&amp;Anmeldung!$D$46&amp;", "&amp;Anmeldung!$E$46&amp;" / "&amp;Anmeldung!$G$46&amp;" / "&amp;Anmeldung!$J$46,"")</f>
        <v/>
      </c>
      <c r="FO33" t="str">
        <f>IF(AND(39&lt;&gt;32,Anmeldung!$D$46&lt;&gt;"",Anmeldung!$G$46=Anmeldung!$G$39,Anmeldung!$J$46=Anmeldung!$J$39,(Anmeldung!$B$46&amp;": "&amp;Anmeldung!$D$46&amp;", "&amp;Anmeldung!$E$46&amp;" / "&amp;Anmeldung!$G$46&amp;" / "&amp;Anmeldung!$J$46)&lt;&gt;Anmeldung!$O$39),Anmeldung!$B$46&amp;": "&amp;Anmeldung!$D$46&amp;", "&amp;Anmeldung!$E$46&amp;" / "&amp;Anmeldung!$G$46&amp;" / "&amp;Anmeldung!$J$46,"")</f>
        <v/>
      </c>
      <c r="FP33" t="str">
        <f>IF(AND(39&lt;&gt;32,Anmeldung!$D$46&lt;&gt;"",Anmeldung!$G$46&lt;&gt;Anmeldung!$G$39,(Anmeldung!$B$46&amp;": "&amp;Anmeldung!$D$46&amp;", "&amp;Anmeldung!$E$46&amp;" / "&amp;Anmeldung!$G$46&amp;" / "&amp;Anmeldung!$J$46)&lt;&gt;Anmeldung!$S$39),Anmeldung!$B$46&amp;": "&amp;Anmeldung!$D$46&amp;", "&amp;Anmeldung!$E$46&amp;" / "&amp;Anmeldung!$G$46&amp;" / "&amp;Anmeldung!$J$46,"")</f>
        <v/>
      </c>
      <c r="FQ33" t="str">
        <f>IF(AND(39&lt;&gt;32,Anmeldung!$D$46&lt;&gt;"",(Anmeldung!$B$46&amp;": "&amp;Anmeldung!$D$46&amp;", "&amp;Anmeldung!$E$46&amp;" / "&amp;Anmeldung!$G$46&amp;" / "&amp;Anmeldung!$J$46)&lt;&gt;Anmeldung!$R$39),Anmeldung!$B$46&amp;": "&amp;Anmeldung!$D$46&amp;", "&amp;Anmeldung!$E$46&amp;" / "&amp;Anmeldung!$G$46&amp;" / "&amp;Anmeldung!$J$46,"")</f>
        <v/>
      </c>
      <c r="FR33" t="str">
        <f>IF(AND(38&lt;&gt;31,Anmeldung!$D$46&lt;&gt;"",Anmeldung!$U$46="Ja",Anmeldung!$G$46=Anmeldung!$G$39,Anmeldung!$J$46=Anmeldung!$J$39),Anmeldung!$B$46&amp;": "&amp;Anmeldung!$D$46&amp;", "&amp;Anmeldung!$E$46&amp;" / "&amp;Anmeldung!$G$46&amp;" / "&amp;Anmeldung!$J$46,"")</f>
        <v/>
      </c>
      <c r="FU33" t="str">
        <f>IF(AND(39&lt;&gt;33,Anmeldung!$D$46&lt;&gt;"",Anmeldung!$G$46=Anmeldung!$G$40,Anmeldung!$J$46=Anmeldung!$J$40),Anmeldung!$B$46&amp;": "&amp;Anmeldung!$D$46&amp;", "&amp;Anmeldung!$E$46&amp;" / "&amp;Anmeldung!$G$46&amp;" / "&amp;Anmeldung!$J$46,"")</f>
        <v/>
      </c>
      <c r="FV33" t="str">
        <f>IF(AND(39&lt;&gt;33,Anmeldung!$D$46&lt;&gt;"",Anmeldung!$G$46=Anmeldung!$G$40,Anmeldung!$J$46=Anmeldung!$J$40,(Anmeldung!$B$46&amp;": "&amp;Anmeldung!$D$46&amp;", "&amp;Anmeldung!$E$46&amp;" / "&amp;Anmeldung!$G$46&amp;" / "&amp;Anmeldung!$J$46)&lt;&gt;Anmeldung!$P$40),Anmeldung!$B$46&amp;": "&amp;Anmeldung!$D$46&amp;", "&amp;Anmeldung!$E$46&amp;" / "&amp;Anmeldung!$G$46&amp;" / "&amp;Anmeldung!$J$46,"")</f>
        <v/>
      </c>
      <c r="FW33" t="str">
        <f>IF(AND(39&lt;&gt;33,Anmeldung!$D$46&lt;&gt;"",Anmeldung!$G$46=Anmeldung!$G$40,Anmeldung!$J$46=Anmeldung!$J$40,(Anmeldung!$B$46&amp;": "&amp;Anmeldung!$D$46&amp;", "&amp;Anmeldung!$E$46&amp;" / "&amp;Anmeldung!$G$46&amp;" / "&amp;Anmeldung!$J$46)&lt;&gt;Anmeldung!$O$40),Anmeldung!$B$46&amp;": "&amp;Anmeldung!$D$46&amp;", "&amp;Anmeldung!$E$46&amp;" / "&amp;Anmeldung!$G$46&amp;" / "&amp;Anmeldung!$J$46,"")</f>
        <v/>
      </c>
      <c r="FX33" t="str">
        <f>IF(AND(39&lt;&gt;33,Anmeldung!$D$46&lt;&gt;"",Anmeldung!$G$46&lt;&gt;Anmeldung!$G$40,(Anmeldung!$B$46&amp;": "&amp;Anmeldung!$D$46&amp;", "&amp;Anmeldung!$E$46&amp;" / "&amp;Anmeldung!$G$46&amp;" / "&amp;Anmeldung!$J$46)&lt;&gt;Anmeldung!$S$40),Anmeldung!$B$46&amp;": "&amp;Anmeldung!$D$46&amp;", "&amp;Anmeldung!$E$46&amp;" / "&amp;Anmeldung!$G$46&amp;" / "&amp;Anmeldung!$J$46,"")</f>
        <v/>
      </c>
      <c r="FY33" t="str">
        <f>IF(AND(39&lt;&gt;33,Anmeldung!$D$46&lt;&gt;"",(Anmeldung!$B$46&amp;": "&amp;Anmeldung!$D$46&amp;", "&amp;Anmeldung!$E$46&amp;" / "&amp;Anmeldung!$G$46&amp;" / "&amp;Anmeldung!$J$46)&lt;&gt;Anmeldung!$R$40),Anmeldung!$B$46&amp;": "&amp;Anmeldung!$D$46&amp;", "&amp;Anmeldung!$E$46&amp;" / "&amp;Anmeldung!$G$46&amp;" / "&amp;Anmeldung!$J$46,"")</f>
        <v/>
      </c>
      <c r="FZ33" t="str">
        <f>IF(AND(38&lt;&gt;32,Anmeldung!$D$46&lt;&gt;"",Anmeldung!$U$46="Ja",Anmeldung!$G$46=Anmeldung!$G$40,Anmeldung!$J$46=Anmeldung!$J$40),Anmeldung!$B$46&amp;": "&amp;Anmeldung!$D$46&amp;", "&amp;Anmeldung!$E$46&amp;" / "&amp;Anmeldung!$G$46&amp;" / "&amp;Anmeldung!$J$46,"")</f>
        <v/>
      </c>
      <c r="GC33" t="str">
        <f>IF(AND(39&lt;&gt;34,Anmeldung!$D$46&lt;&gt;"",Anmeldung!$G$46=Anmeldung!$G$41,Anmeldung!$J$46=Anmeldung!$J$41),Anmeldung!$B$46&amp;": "&amp;Anmeldung!$D$46&amp;", "&amp;Anmeldung!$E$46&amp;" / "&amp;Anmeldung!$G$46&amp;" / "&amp;Anmeldung!$J$46,"")</f>
        <v/>
      </c>
      <c r="GD33" t="str">
        <f>IF(AND(39&lt;&gt;34,Anmeldung!$D$46&lt;&gt;"",Anmeldung!$G$46=Anmeldung!$G$41,Anmeldung!$J$46=Anmeldung!$J$41,(Anmeldung!$B$46&amp;": "&amp;Anmeldung!$D$46&amp;", "&amp;Anmeldung!$E$46&amp;" / "&amp;Anmeldung!$G$46&amp;" / "&amp;Anmeldung!$J$46)&lt;&gt;Anmeldung!$P$41),Anmeldung!$B$46&amp;": "&amp;Anmeldung!$D$46&amp;", "&amp;Anmeldung!$E$46&amp;" / "&amp;Anmeldung!$G$46&amp;" / "&amp;Anmeldung!$J$46,"")</f>
        <v/>
      </c>
      <c r="GE33" t="str">
        <f>IF(AND(39&lt;&gt;34,Anmeldung!$D$46&lt;&gt;"",Anmeldung!$G$46=Anmeldung!$G$41,Anmeldung!$J$46=Anmeldung!$J$41,(Anmeldung!$B$46&amp;": "&amp;Anmeldung!$D$46&amp;", "&amp;Anmeldung!$E$46&amp;" / "&amp;Anmeldung!$G$46&amp;" / "&amp;Anmeldung!$J$46)&lt;&gt;Anmeldung!$O$41),Anmeldung!$B$46&amp;": "&amp;Anmeldung!$D$46&amp;", "&amp;Anmeldung!$E$46&amp;" / "&amp;Anmeldung!$G$46&amp;" / "&amp;Anmeldung!$J$46,"")</f>
        <v/>
      </c>
      <c r="GF33" t="str">
        <f>IF(AND(39&lt;&gt;34,Anmeldung!$D$46&lt;&gt;"",Anmeldung!$G$46&lt;&gt;Anmeldung!$G$41,(Anmeldung!$B$46&amp;": "&amp;Anmeldung!$D$46&amp;", "&amp;Anmeldung!$E$46&amp;" / "&amp;Anmeldung!$G$46&amp;" / "&amp;Anmeldung!$J$46)&lt;&gt;Anmeldung!$S$41),Anmeldung!$B$46&amp;": "&amp;Anmeldung!$D$46&amp;", "&amp;Anmeldung!$E$46&amp;" / "&amp;Anmeldung!$G$46&amp;" / "&amp;Anmeldung!$J$46,"")</f>
        <v/>
      </c>
      <c r="GG33" t="str">
        <f>IF(AND(39&lt;&gt;34,Anmeldung!$D$46&lt;&gt;"",(Anmeldung!$B$46&amp;": "&amp;Anmeldung!$D$46&amp;", "&amp;Anmeldung!$E$46&amp;" / "&amp;Anmeldung!$G$46&amp;" / "&amp;Anmeldung!$J$46)&lt;&gt;Anmeldung!$R$41),Anmeldung!$B$46&amp;": "&amp;Anmeldung!$D$46&amp;", "&amp;Anmeldung!$E$46&amp;" / "&amp;Anmeldung!$G$46&amp;" / "&amp;Anmeldung!$J$46,"")</f>
        <v/>
      </c>
      <c r="GH33" t="str">
        <f>IF(AND(38&lt;&gt;33,Anmeldung!$D$46&lt;&gt;"",Anmeldung!$U$46="Ja",Anmeldung!$G$46=Anmeldung!$G$41,Anmeldung!$J$46=Anmeldung!$J$41),Anmeldung!$B$46&amp;": "&amp;Anmeldung!$D$46&amp;", "&amp;Anmeldung!$E$46&amp;" / "&amp;Anmeldung!$G$46&amp;" / "&amp;Anmeldung!$J$46,"")</f>
        <v/>
      </c>
      <c r="GK33" t="str">
        <f>IF(AND(39&lt;&gt;35,Anmeldung!$D$46&lt;&gt;"",Anmeldung!$G$46=Anmeldung!$G$42,Anmeldung!$J$46=Anmeldung!$J$42),Anmeldung!$B$46&amp;": "&amp;Anmeldung!$D$46&amp;", "&amp;Anmeldung!$E$46&amp;" / "&amp;Anmeldung!$G$46&amp;" / "&amp;Anmeldung!$J$46,"")</f>
        <v/>
      </c>
      <c r="GL33" t="str">
        <f>IF(AND(39&lt;&gt;35,Anmeldung!$D$46&lt;&gt;"",Anmeldung!$G$46=Anmeldung!$G$42,Anmeldung!$J$46=Anmeldung!$J$42,(Anmeldung!$B$46&amp;": "&amp;Anmeldung!$D$46&amp;", "&amp;Anmeldung!$E$46&amp;" / "&amp;Anmeldung!$G$46&amp;" / "&amp;Anmeldung!$J$46)&lt;&gt;Anmeldung!$P$42),Anmeldung!$B$46&amp;": "&amp;Anmeldung!$D$46&amp;", "&amp;Anmeldung!$E$46&amp;" / "&amp;Anmeldung!$G$46&amp;" / "&amp;Anmeldung!$J$46,"")</f>
        <v/>
      </c>
      <c r="GM33" t="str">
        <f>IF(AND(39&lt;&gt;35,Anmeldung!$D$46&lt;&gt;"",Anmeldung!$G$46=Anmeldung!$G$42,Anmeldung!$J$46=Anmeldung!$J$42,(Anmeldung!$B$46&amp;": "&amp;Anmeldung!$D$46&amp;", "&amp;Anmeldung!$E$46&amp;" / "&amp;Anmeldung!$G$46&amp;" / "&amp;Anmeldung!$J$46)&lt;&gt;Anmeldung!$O$42),Anmeldung!$B$46&amp;": "&amp;Anmeldung!$D$46&amp;", "&amp;Anmeldung!$E$46&amp;" / "&amp;Anmeldung!$G$46&amp;" / "&amp;Anmeldung!$J$46,"")</f>
        <v/>
      </c>
      <c r="GN33" t="str">
        <f>IF(AND(39&lt;&gt;35,Anmeldung!$D$46&lt;&gt;"",Anmeldung!$G$46&lt;&gt;Anmeldung!$G$42,(Anmeldung!$B$46&amp;": "&amp;Anmeldung!$D$46&amp;", "&amp;Anmeldung!$E$46&amp;" / "&amp;Anmeldung!$G$46&amp;" / "&amp;Anmeldung!$J$46)&lt;&gt;Anmeldung!$S$42),Anmeldung!$B$46&amp;": "&amp;Anmeldung!$D$46&amp;", "&amp;Anmeldung!$E$46&amp;" / "&amp;Anmeldung!$G$46&amp;" / "&amp;Anmeldung!$J$46,"")</f>
        <v/>
      </c>
      <c r="GO33" t="str">
        <f>IF(AND(39&lt;&gt;35,Anmeldung!$D$46&lt;&gt;"",(Anmeldung!$B$46&amp;": "&amp;Anmeldung!$D$46&amp;", "&amp;Anmeldung!$E$46&amp;" / "&amp;Anmeldung!$G$46&amp;" / "&amp;Anmeldung!$J$46)&lt;&gt;Anmeldung!$R$42),Anmeldung!$B$46&amp;": "&amp;Anmeldung!$D$46&amp;", "&amp;Anmeldung!$E$46&amp;" / "&amp;Anmeldung!$G$46&amp;" / "&amp;Anmeldung!$J$46,"")</f>
        <v/>
      </c>
      <c r="GP33" t="str">
        <f>IF(AND(38&lt;&gt;34,Anmeldung!$D$46&lt;&gt;"",Anmeldung!$U$46="Ja",Anmeldung!$G$46=Anmeldung!$G$42,Anmeldung!$J$46=Anmeldung!$J$42),Anmeldung!$B$46&amp;": "&amp;Anmeldung!$D$46&amp;", "&amp;Anmeldung!$E$46&amp;" / "&amp;Anmeldung!$G$46&amp;" / "&amp;Anmeldung!$J$46,"")</f>
        <v/>
      </c>
      <c r="GS33" t="str">
        <f>IF(AND(39&lt;&gt;36,Anmeldung!$D$46&lt;&gt;"",Anmeldung!$G$46=Anmeldung!$G$43,Anmeldung!$J$46=Anmeldung!$J$43),Anmeldung!$B$46&amp;": "&amp;Anmeldung!$D$46&amp;", "&amp;Anmeldung!$E$46&amp;" / "&amp;Anmeldung!$G$46&amp;" / "&amp;Anmeldung!$J$46,"")</f>
        <v/>
      </c>
      <c r="GT33" t="str">
        <f>IF(AND(39&lt;&gt;36,Anmeldung!$D$46&lt;&gt;"",Anmeldung!$G$46=Anmeldung!$G$43,Anmeldung!$J$46=Anmeldung!$J$43,(Anmeldung!$B$46&amp;": "&amp;Anmeldung!$D$46&amp;", "&amp;Anmeldung!$E$46&amp;" / "&amp;Anmeldung!$G$46&amp;" / "&amp;Anmeldung!$J$46)&lt;&gt;Anmeldung!$P$43),Anmeldung!$B$46&amp;": "&amp;Anmeldung!$D$46&amp;", "&amp;Anmeldung!$E$46&amp;" / "&amp;Anmeldung!$G$46&amp;" / "&amp;Anmeldung!$J$46,"")</f>
        <v/>
      </c>
      <c r="GU33" t="str">
        <f>IF(AND(39&lt;&gt;36,Anmeldung!$D$46&lt;&gt;"",Anmeldung!$G$46=Anmeldung!$G$43,Anmeldung!$J$46=Anmeldung!$J$43,(Anmeldung!$B$46&amp;": "&amp;Anmeldung!$D$46&amp;", "&amp;Anmeldung!$E$46&amp;" / "&amp;Anmeldung!$G$46&amp;" / "&amp;Anmeldung!$J$46)&lt;&gt;Anmeldung!$O$43),Anmeldung!$B$46&amp;": "&amp;Anmeldung!$D$46&amp;", "&amp;Anmeldung!$E$46&amp;" / "&amp;Anmeldung!$G$46&amp;" / "&amp;Anmeldung!$J$46,"")</f>
        <v/>
      </c>
      <c r="GV33" t="str">
        <f>IF(AND(39&lt;&gt;36,Anmeldung!$D$46&lt;&gt;"",Anmeldung!$G$46&lt;&gt;Anmeldung!$G$43,(Anmeldung!$B$46&amp;": "&amp;Anmeldung!$D$46&amp;", "&amp;Anmeldung!$E$46&amp;" / "&amp;Anmeldung!$G$46&amp;" / "&amp;Anmeldung!$J$46)&lt;&gt;Anmeldung!$S$43),Anmeldung!$B$46&amp;": "&amp;Anmeldung!$D$46&amp;", "&amp;Anmeldung!$E$46&amp;" / "&amp;Anmeldung!$G$46&amp;" / "&amp;Anmeldung!$J$46,"")</f>
        <v/>
      </c>
      <c r="GW33" t="str">
        <f>IF(AND(39&lt;&gt;36,Anmeldung!$D$46&lt;&gt;"",(Anmeldung!$B$46&amp;": "&amp;Anmeldung!$D$46&amp;", "&amp;Anmeldung!$E$46&amp;" / "&amp;Anmeldung!$G$46&amp;" / "&amp;Anmeldung!$J$46)&lt;&gt;Anmeldung!$R$43),Anmeldung!$B$46&amp;": "&amp;Anmeldung!$D$46&amp;", "&amp;Anmeldung!$E$46&amp;" / "&amp;Anmeldung!$G$46&amp;" / "&amp;Anmeldung!$J$46,"")</f>
        <v/>
      </c>
      <c r="GX33" t="str">
        <f>IF(AND(38&lt;&gt;35,Anmeldung!$D$46&lt;&gt;"",Anmeldung!$U$46="Ja",Anmeldung!$G$46=Anmeldung!$G$43,Anmeldung!$J$46=Anmeldung!$J$43),Anmeldung!$B$46&amp;": "&amp;Anmeldung!$D$46&amp;", "&amp;Anmeldung!$E$46&amp;" / "&amp;Anmeldung!$G$46&amp;" / "&amp;Anmeldung!$J$46,"")</f>
        <v/>
      </c>
      <c r="HA33" t="str">
        <f>IF(AND(39&lt;&gt;37,Anmeldung!$D$46&lt;&gt;"",Anmeldung!$G$46=Anmeldung!$G$44,Anmeldung!$J$46=Anmeldung!$J$44),Anmeldung!$B$46&amp;": "&amp;Anmeldung!$D$46&amp;", "&amp;Anmeldung!$E$46&amp;" / "&amp;Anmeldung!$G$46&amp;" / "&amp;Anmeldung!$J$46,"")</f>
        <v/>
      </c>
      <c r="HB33" t="str">
        <f>IF(AND(39&lt;&gt;37,Anmeldung!$D$46&lt;&gt;"",Anmeldung!$G$46=Anmeldung!$G$44,Anmeldung!$J$46=Anmeldung!$J$44,(Anmeldung!$B$46&amp;": "&amp;Anmeldung!$D$46&amp;", "&amp;Anmeldung!$E$46&amp;" / "&amp;Anmeldung!$G$46&amp;" / "&amp;Anmeldung!$J$46)&lt;&gt;Anmeldung!$P$44),Anmeldung!$B$46&amp;": "&amp;Anmeldung!$D$46&amp;", "&amp;Anmeldung!$E$46&amp;" / "&amp;Anmeldung!$G$46&amp;" / "&amp;Anmeldung!$J$46,"")</f>
        <v/>
      </c>
      <c r="HC33" t="str">
        <f>IF(AND(39&lt;&gt;37,Anmeldung!$D$46&lt;&gt;"",Anmeldung!$G$46=Anmeldung!$G$44,Anmeldung!$J$46=Anmeldung!$J$44,(Anmeldung!$B$46&amp;": "&amp;Anmeldung!$D$46&amp;", "&amp;Anmeldung!$E$46&amp;" / "&amp;Anmeldung!$G$46&amp;" / "&amp;Anmeldung!$J$46)&lt;&gt;Anmeldung!$O$44),Anmeldung!$B$46&amp;": "&amp;Anmeldung!$D$46&amp;", "&amp;Anmeldung!$E$46&amp;" / "&amp;Anmeldung!$G$46&amp;" / "&amp;Anmeldung!$J$46,"")</f>
        <v/>
      </c>
      <c r="HD33" t="str">
        <f>IF(AND(39&lt;&gt;37,Anmeldung!$D$46&lt;&gt;"",Anmeldung!$G$46&lt;&gt;Anmeldung!$G$44,(Anmeldung!$B$46&amp;": "&amp;Anmeldung!$D$46&amp;", "&amp;Anmeldung!$E$46&amp;" / "&amp;Anmeldung!$G$46&amp;" / "&amp;Anmeldung!$J$46)&lt;&gt;Anmeldung!$S$44),Anmeldung!$B$46&amp;": "&amp;Anmeldung!$D$46&amp;", "&amp;Anmeldung!$E$46&amp;" / "&amp;Anmeldung!$G$46&amp;" / "&amp;Anmeldung!$J$46,"")</f>
        <v/>
      </c>
      <c r="HE33" t="str">
        <f>IF(AND(39&lt;&gt;37,Anmeldung!$D$46&lt;&gt;"",(Anmeldung!$B$46&amp;": "&amp;Anmeldung!$D$46&amp;", "&amp;Anmeldung!$E$46&amp;" / "&amp;Anmeldung!$G$46&amp;" / "&amp;Anmeldung!$J$46)&lt;&gt;Anmeldung!$R$44),Anmeldung!$B$46&amp;": "&amp;Anmeldung!$D$46&amp;", "&amp;Anmeldung!$E$46&amp;" / "&amp;Anmeldung!$G$46&amp;" / "&amp;Anmeldung!$J$46,"")</f>
        <v/>
      </c>
      <c r="HF33" t="str">
        <f>IF(AND(38&lt;&gt;36,Anmeldung!$D$46&lt;&gt;"",Anmeldung!$U$46="Ja",Anmeldung!$G$46=Anmeldung!$G$44,Anmeldung!$J$46=Anmeldung!$J$44),Anmeldung!$B$46&amp;": "&amp;Anmeldung!$D$46&amp;", "&amp;Anmeldung!$E$46&amp;" / "&amp;Anmeldung!$G$46&amp;" / "&amp;Anmeldung!$J$46,"")</f>
        <v/>
      </c>
      <c r="HI33" t="str">
        <f>IF(AND(39&lt;&gt;38,Anmeldung!$D$46&lt;&gt;"",Anmeldung!$G$46=Anmeldung!$G$45,Anmeldung!$J$46=Anmeldung!$J$45),Anmeldung!$B$46&amp;": "&amp;Anmeldung!$D$46&amp;", "&amp;Anmeldung!$E$46&amp;" / "&amp;Anmeldung!$G$46&amp;" / "&amp;Anmeldung!$J$46,"")</f>
        <v/>
      </c>
      <c r="HJ33" t="str">
        <f>IF(AND(39&lt;&gt;38,Anmeldung!$D$46&lt;&gt;"",Anmeldung!$G$46=Anmeldung!$G$45,Anmeldung!$J$46=Anmeldung!$J$45,(Anmeldung!$B$46&amp;": "&amp;Anmeldung!$D$46&amp;", "&amp;Anmeldung!$E$46&amp;" / "&amp;Anmeldung!$G$46&amp;" / "&amp;Anmeldung!$J$46)&lt;&gt;Anmeldung!$P$45),Anmeldung!$B$46&amp;": "&amp;Anmeldung!$D$46&amp;", "&amp;Anmeldung!$E$46&amp;" / "&amp;Anmeldung!$G$46&amp;" / "&amp;Anmeldung!$J$46,"")</f>
        <v/>
      </c>
      <c r="HK33" t="str">
        <f>IF(AND(39&lt;&gt;38,Anmeldung!$D$46&lt;&gt;"",Anmeldung!$G$46=Anmeldung!$G$45,Anmeldung!$J$46=Anmeldung!$J$45,(Anmeldung!$B$46&amp;": "&amp;Anmeldung!$D$46&amp;", "&amp;Anmeldung!$E$46&amp;" / "&amp;Anmeldung!$G$46&amp;" / "&amp;Anmeldung!$J$46)&lt;&gt;Anmeldung!$O$45),Anmeldung!$B$46&amp;": "&amp;Anmeldung!$D$46&amp;", "&amp;Anmeldung!$E$46&amp;" / "&amp;Anmeldung!$G$46&amp;" / "&amp;Anmeldung!$J$46,"")</f>
        <v/>
      </c>
      <c r="HL33" t="str">
        <f>IF(AND(39&lt;&gt;38,Anmeldung!$D$46&lt;&gt;"",Anmeldung!$G$46&lt;&gt;Anmeldung!$G$45,(Anmeldung!$B$46&amp;": "&amp;Anmeldung!$D$46&amp;", "&amp;Anmeldung!$E$46&amp;" / "&amp;Anmeldung!$G$46&amp;" / "&amp;Anmeldung!$J$46)&lt;&gt;Anmeldung!$S$45),Anmeldung!$B$46&amp;": "&amp;Anmeldung!$D$46&amp;", "&amp;Anmeldung!$E$46&amp;" / "&amp;Anmeldung!$G$46&amp;" / "&amp;Anmeldung!$J$46,"")</f>
        <v/>
      </c>
      <c r="HM33" t="str">
        <f>IF(AND(39&lt;&gt;38,Anmeldung!$D$46&lt;&gt;"",(Anmeldung!$B$46&amp;": "&amp;Anmeldung!$D$46&amp;", "&amp;Anmeldung!$E$46&amp;" / "&amp;Anmeldung!$G$46&amp;" / "&amp;Anmeldung!$J$46)&lt;&gt;Anmeldung!$R$45),Anmeldung!$B$46&amp;": "&amp;Anmeldung!$D$46&amp;", "&amp;Anmeldung!$E$46&amp;" / "&amp;Anmeldung!$G$46&amp;" / "&amp;Anmeldung!$J$46,"")</f>
        <v/>
      </c>
      <c r="HN33" t="str">
        <f>IF(AND(38&lt;&gt;37,Anmeldung!$D$46&lt;&gt;"",Anmeldung!$U$46="Ja",Anmeldung!$G$46=Anmeldung!$G$45,Anmeldung!$J$46=Anmeldung!$J$45),Anmeldung!$B$46&amp;": "&amp;Anmeldung!$D$46&amp;", "&amp;Anmeldung!$E$46&amp;" / "&amp;Anmeldung!$G$46&amp;" / "&amp;Anmeldung!$J$46,"")</f>
        <v/>
      </c>
      <c r="HQ33" t="str">
        <f>IF(AND(39&lt;&gt;39,Anmeldung!$D$46&lt;&gt;"",Anmeldung!$G$46=Anmeldung!$G$46,Anmeldung!$J$46=Anmeldung!$J$46),Anmeldung!$B$46&amp;": "&amp;Anmeldung!$D$46&amp;", "&amp;Anmeldung!$E$46&amp;" / "&amp;Anmeldung!$G$46&amp;" / "&amp;Anmeldung!$J$46,"")</f>
        <v/>
      </c>
      <c r="HR33" t="str">
        <f>IF(AND(39&lt;&gt;39,Anmeldung!$D$46&lt;&gt;"",Anmeldung!$G$46=Anmeldung!$G$46,Anmeldung!$J$46=Anmeldung!$J$46,(Anmeldung!$B$46&amp;": "&amp;Anmeldung!$D$46&amp;", "&amp;Anmeldung!$E$46&amp;" / "&amp;Anmeldung!$G$46&amp;" / "&amp;Anmeldung!$J$46)&lt;&gt;Anmeldung!$P$46),Anmeldung!$B$46&amp;": "&amp;Anmeldung!$D$46&amp;", "&amp;Anmeldung!$E$46&amp;" / "&amp;Anmeldung!$G$46&amp;" / "&amp;Anmeldung!$J$46,"")</f>
        <v/>
      </c>
      <c r="HS33" t="str">
        <f>IF(AND(39&lt;&gt;39,Anmeldung!$D$46&lt;&gt;"",Anmeldung!$G$46=Anmeldung!$G$46,Anmeldung!$J$46=Anmeldung!$J$46,(Anmeldung!$B$46&amp;": "&amp;Anmeldung!$D$46&amp;", "&amp;Anmeldung!$E$46&amp;" / "&amp;Anmeldung!$G$46&amp;" / "&amp;Anmeldung!$J$46)&lt;&gt;Anmeldung!$O$46),Anmeldung!$B$46&amp;": "&amp;Anmeldung!$D$46&amp;", "&amp;Anmeldung!$E$46&amp;" / "&amp;Anmeldung!$G$46&amp;" / "&amp;Anmeldung!$J$46,"")</f>
        <v/>
      </c>
      <c r="HT33" t="str">
        <f>IF(AND(39&lt;&gt;39,Anmeldung!$D$46&lt;&gt;"",Anmeldung!$G$46&lt;&gt;Anmeldung!$G$46,(Anmeldung!$B$46&amp;": "&amp;Anmeldung!$D$46&amp;", "&amp;Anmeldung!$E$46&amp;" / "&amp;Anmeldung!$G$46&amp;" / "&amp;Anmeldung!$J$46)&lt;&gt;Anmeldung!$S$46),Anmeldung!$B$46&amp;": "&amp;Anmeldung!$D$46&amp;", "&amp;Anmeldung!$E$46&amp;" / "&amp;Anmeldung!$G$46&amp;" / "&amp;Anmeldung!$J$46,"")</f>
        <v/>
      </c>
      <c r="HU33" t="str">
        <f>IF(AND(39&lt;&gt;39,Anmeldung!$D$46&lt;&gt;"",(Anmeldung!$B$46&amp;": "&amp;Anmeldung!$D$46&amp;", "&amp;Anmeldung!$E$46&amp;" / "&amp;Anmeldung!$G$46&amp;" / "&amp;Anmeldung!$J$46)&lt;&gt;Anmeldung!$R$46),Anmeldung!$B$46&amp;": "&amp;Anmeldung!$D$46&amp;", "&amp;Anmeldung!$E$46&amp;" / "&amp;Anmeldung!$G$46&amp;" / "&amp;Anmeldung!$J$46,"")</f>
        <v/>
      </c>
      <c r="HV33" t="str">
        <f>IF(AND(38&lt;&gt;38,Anmeldung!$D$46&lt;&gt;"",Anmeldung!$U$46="Ja",Anmeldung!$G$46=Anmeldung!$G$46,Anmeldung!$J$46=Anmeldung!$J$46),Anmeldung!$B$46&amp;": "&amp;Anmeldung!$D$46&amp;", "&amp;Anmeldung!$E$46&amp;" / "&amp;Anmeldung!$G$46&amp;" / "&amp;Anmeldung!$J$46,"")</f>
        <v/>
      </c>
      <c r="HY33" t="str">
        <f>IF(AND(39&lt;&gt;40,Anmeldung!$D$46&lt;&gt;"",Anmeldung!$G$46=Anmeldung!$G$47,Anmeldung!$J$46=Anmeldung!$J$47),Anmeldung!$B$46&amp;": "&amp;Anmeldung!$D$46&amp;", "&amp;Anmeldung!$E$46&amp;" / "&amp;Anmeldung!$G$46&amp;" / "&amp;Anmeldung!$J$46,"")</f>
        <v/>
      </c>
      <c r="HZ33" t="str">
        <f>IF(AND(39&lt;&gt;40,Anmeldung!$D$46&lt;&gt;"",Anmeldung!$G$46=Anmeldung!$G$47,Anmeldung!$J$46=Anmeldung!$J$47,(Anmeldung!$B$46&amp;": "&amp;Anmeldung!$D$46&amp;", "&amp;Anmeldung!$E$46&amp;" / "&amp;Anmeldung!$G$46&amp;" / "&amp;Anmeldung!$J$46)&lt;&gt;Anmeldung!$P$47),Anmeldung!$B$46&amp;": "&amp;Anmeldung!$D$46&amp;", "&amp;Anmeldung!$E$46&amp;" / "&amp;Anmeldung!$G$46&amp;" / "&amp;Anmeldung!$J$46,"")</f>
        <v/>
      </c>
      <c r="IA33" t="str">
        <f>IF(AND(39&lt;&gt;40,Anmeldung!$D$46&lt;&gt;"",Anmeldung!$G$46=Anmeldung!$G$47,Anmeldung!$J$46=Anmeldung!$J$47,(Anmeldung!$B$46&amp;": "&amp;Anmeldung!$D$46&amp;", "&amp;Anmeldung!$E$46&amp;" / "&amp;Anmeldung!$G$46&amp;" / "&amp;Anmeldung!$J$46)&lt;&gt;Anmeldung!$O$47),Anmeldung!$B$46&amp;": "&amp;Anmeldung!$D$46&amp;", "&amp;Anmeldung!$E$46&amp;" / "&amp;Anmeldung!$G$46&amp;" / "&amp;Anmeldung!$J$46,"")</f>
        <v/>
      </c>
      <c r="IB33" t="str">
        <f>IF(AND(39&lt;&gt;40,Anmeldung!$D$46&lt;&gt;"",Anmeldung!$G$46&lt;&gt;Anmeldung!$G$47,(Anmeldung!$B$46&amp;": "&amp;Anmeldung!$D$46&amp;", "&amp;Anmeldung!$E$46&amp;" / "&amp;Anmeldung!$G$46&amp;" / "&amp;Anmeldung!$J$46)&lt;&gt;Anmeldung!$S$47),Anmeldung!$B$46&amp;": "&amp;Anmeldung!$D$46&amp;", "&amp;Anmeldung!$E$46&amp;" / "&amp;Anmeldung!$G$46&amp;" / "&amp;Anmeldung!$J$46,"")</f>
        <v/>
      </c>
      <c r="IC33" t="str">
        <f>IF(AND(39&lt;&gt;40,Anmeldung!$D$46&lt;&gt;"",(Anmeldung!$B$46&amp;": "&amp;Anmeldung!$D$46&amp;", "&amp;Anmeldung!$E$46&amp;" / "&amp;Anmeldung!$G$46&amp;" / "&amp;Anmeldung!$J$46)&lt;&gt;Anmeldung!$R$47),Anmeldung!$B$46&amp;": "&amp;Anmeldung!$D$46&amp;", "&amp;Anmeldung!$E$46&amp;" / "&amp;Anmeldung!$G$46&amp;" / "&amp;Anmeldung!$J$46,"")</f>
        <v/>
      </c>
      <c r="ID33" t="str">
        <f>IF(AND(38&lt;&gt;39,Anmeldung!$D$46&lt;&gt;"",Anmeldung!$U$46="Ja",Anmeldung!$G$46=Anmeldung!$G$47,Anmeldung!$J$46=Anmeldung!$J$47),Anmeldung!$B$46&amp;": "&amp;Anmeldung!$D$46&amp;", "&amp;Anmeldung!$E$46&amp;" / "&amp;Anmeldung!$G$46&amp;" / "&amp;Anmeldung!$J$46,"")</f>
        <v/>
      </c>
    </row>
    <row r="34" spans="1:238" ht="14.25" customHeight="1" x14ac:dyDescent="0.3">
      <c r="A34" t="str">
        <f>IF(AND(40&lt;&gt;11,Anmeldung!$D$47&lt;&gt;"",Anmeldung!$G$47=Anmeldung!$G$18,Anmeldung!$J$47=Anmeldung!$J$18),Anmeldung!$B$47&amp;": "&amp;Anmeldung!$D$47&amp;", "&amp;Anmeldung!$E$47&amp;" / "&amp;Anmeldung!$G$47&amp;" / "&amp;Anmeldung!$J$47,"")</f>
        <v/>
      </c>
      <c r="B34" t="str">
        <f>IF(AND(40&lt;&gt;11,Anmeldung!$D$47&lt;&gt;"",Anmeldung!$G$47=Anmeldung!$G$18,Anmeldung!$J$47=Anmeldung!$J$18,(Anmeldung!$B$47&amp;": "&amp;Anmeldung!$D$47&amp;", "&amp;Anmeldung!$E$47&amp;" / "&amp;Anmeldung!$G$47&amp;" / "&amp;Anmeldung!$J$47)&lt;&gt;Anmeldung!$P$18),Anmeldung!$B$47&amp;": "&amp;Anmeldung!$D$47&amp;", "&amp;Anmeldung!$E$47&amp;" / "&amp;Anmeldung!$G$47&amp;" / "&amp;Anmeldung!$J$47,"")</f>
        <v/>
      </c>
      <c r="C34" t="str">
        <f>IF(AND(40&lt;&gt;11,Anmeldung!$D$47&lt;&gt;"",Anmeldung!$G$47=Anmeldung!$G$18,Anmeldung!$J$47=Anmeldung!$J$18,(Anmeldung!$B$47&amp;": "&amp;Anmeldung!$D$47&amp;", "&amp;Anmeldung!$E$47&amp;" / "&amp;Anmeldung!$G$47&amp;" / "&amp;Anmeldung!$J$47)&lt;&gt;Anmeldung!$O$18),Anmeldung!$B$47&amp;": "&amp;Anmeldung!$D$47&amp;", "&amp;Anmeldung!$E$47&amp;" / "&amp;Anmeldung!$G$47&amp;" / "&amp;Anmeldung!$J$47,"")</f>
        <v/>
      </c>
      <c r="D34" t="str">
        <f>IF(AND(40&lt;&gt;11,Anmeldung!$D$47&lt;&gt;"",Anmeldung!$G$47&lt;&gt;Anmeldung!$G$18,(Anmeldung!$B$47&amp;": "&amp;Anmeldung!$D$47&amp;", "&amp;Anmeldung!$E$47&amp;" / "&amp;Anmeldung!$G$47&amp;" / "&amp;Anmeldung!$J$47)&lt;&gt;Anmeldung!$S$18),Anmeldung!$B$47&amp;": "&amp;Anmeldung!$D$47&amp;", "&amp;Anmeldung!$E$47&amp;" / "&amp;Anmeldung!$G$47&amp;" / "&amp;Anmeldung!$J$47,"")</f>
        <v/>
      </c>
      <c r="E34" t="str">
        <f>IF(AND(40&lt;&gt;11,Anmeldung!$D$47&lt;&gt;"",(Anmeldung!$B$47&amp;": "&amp;Anmeldung!$D$47&amp;", "&amp;Anmeldung!$E$47&amp;" / "&amp;Anmeldung!$G$47&amp;" / "&amp;Anmeldung!$J$47)&lt;&gt;Anmeldung!$R$18),Anmeldung!$B$47&amp;": "&amp;Anmeldung!$D$47&amp;", "&amp;Anmeldung!$E$47&amp;" / "&amp;Anmeldung!$G$47&amp;" / "&amp;Anmeldung!$J$47,"")</f>
        <v/>
      </c>
      <c r="F34" t="str">
        <f>IF(AND(39&lt;&gt;10,Anmeldung!$D$47&lt;&gt;"",Anmeldung!$U$47="Ja",Anmeldung!$G$47=Anmeldung!$G$18,Anmeldung!$J$47=Anmeldung!$J$18),Anmeldung!$B$47&amp;": "&amp;Anmeldung!$D$47&amp;", "&amp;Anmeldung!$E$47&amp;" / "&amp;Anmeldung!$G$47&amp;" / "&amp;Anmeldung!$J$47,"")</f>
        <v/>
      </c>
      <c r="I34" t="str">
        <f>IF(AND(40&lt;&gt;12,Anmeldung!$D$47&lt;&gt;"",Anmeldung!$G$47=Anmeldung!$G$19,Anmeldung!$J$47=Anmeldung!$J$19),Anmeldung!$B$47&amp;": "&amp;Anmeldung!$D$47&amp;", "&amp;Anmeldung!$E$47&amp;" / "&amp;Anmeldung!$G$47&amp;" / "&amp;Anmeldung!$J$47,"")</f>
        <v/>
      </c>
      <c r="J34" t="str">
        <f>IF(AND(40&lt;&gt;12,Anmeldung!$D$47&lt;&gt;"",Anmeldung!$G$47=Anmeldung!$G$19,Anmeldung!$J$47=Anmeldung!$J$19,(Anmeldung!$B$47&amp;": "&amp;Anmeldung!$D$47&amp;", "&amp;Anmeldung!$E$47&amp;" / "&amp;Anmeldung!$G$47&amp;" / "&amp;Anmeldung!$J$47)&lt;&gt;Anmeldung!$P$19),Anmeldung!$B$47&amp;": "&amp;Anmeldung!$D$47&amp;", "&amp;Anmeldung!$E$47&amp;" / "&amp;Anmeldung!$G$47&amp;" / "&amp;Anmeldung!$J$47,"")</f>
        <v/>
      </c>
      <c r="K34" t="str">
        <f>IF(AND(40&lt;&gt;12,Anmeldung!$D$47&lt;&gt;"",Anmeldung!$G$47=Anmeldung!$G$19,Anmeldung!$J$47=Anmeldung!$J$19,(Anmeldung!$B$47&amp;": "&amp;Anmeldung!$D$47&amp;", "&amp;Anmeldung!$E$47&amp;" / "&amp;Anmeldung!$G$47&amp;" / "&amp;Anmeldung!$J$47)&lt;&gt;Anmeldung!$O$19),Anmeldung!$B$47&amp;": "&amp;Anmeldung!$D$47&amp;", "&amp;Anmeldung!$E$47&amp;" / "&amp;Anmeldung!$G$47&amp;" / "&amp;Anmeldung!$J$47,"")</f>
        <v/>
      </c>
      <c r="L34" t="str">
        <f>IF(AND(40&lt;&gt;12,Anmeldung!$D$47&lt;&gt;"",Anmeldung!$G$47&lt;&gt;Anmeldung!$G$19,(Anmeldung!$B$47&amp;": "&amp;Anmeldung!$D$47&amp;", "&amp;Anmeldung!$E$47&amp;" / "&amp;Anmeldung!$G$47&amp;" / "&amp;Anmeldung!$J$47)&lt;&gt;Anmeldung!$S$19),Anmeldung!$B$47&amp;": "&amp;Anmeldung!$D$47&amp;", "&amp;Anmeldung!$E$47&amp;" / "&amp;Anmeldung!$G$47&amp;" / "&amp;Anmeldung!$J$47,"")</f>
        <v/>
      </c>
      <c r="M34" t="str">
        <f>IF(AND(40&lt;&gt;12,Anmeldung!$D$47&lt;&gt;"",(Anmeldung!$B$47&amp;": "&amp;Anmeldung!$D$47&amp;", "&amp;Anmeldung!$E$47&amp;" / "&amp;Anmeldung!$G$47&amp;" / "&amp;Anmeldung!$J$47)&lt;&gt;Anmeldung!$R$19),Anmeldung!$B$47&amp;": "&amp;Anmeldung!$D$47&amp;", "&amp;Anmeldung!$E$47&amp;" / "&amp;Anmeldung!$G$47&amp;" / "&amp;Anmeldung!$J$47,"")</f>
        <v/>
      </c>
      <c r="N34" t="str">
        <f>IF(AND(39&lt;&gt;11,Anmeldung!$D$47&lt;&gt;"",Anmeldung!$U$47="Ja",Anmeldung!$G$47=Anmeldung!$G$19,Anmeldung!$J$47=Anmeldung!$J$19),Anmeldung!$B$47&amp;": "&amp;Anmeldung!$D$47&amp;", "&amp;Anmeldung!$E$47&amp;" / "&amp;Anmeldung!$G$47&amp;" / "&amp;Anmeldung!$J$47,"")</f>
        <v/>
      </c>
      <c r="Q34" t="str">
        <f>IF(AND(40&lt;&gt;13,Anmeldung!$D$47&lt;&gt;"",Anmeldung!$G$47=Anmeldung!$G$20,Anmeldung!$J$47=Anmeldung!$J$20),Anmeldung!$B$47&amp;": "&amp;Anmeldung!$D$47&amp;", "&amp;Anmeldung!$E$47&amp;" / "&amp;Anmeldung!$G$47&amp;" / "&amp;Anmeldung!$J$47,"")</f>
        <v/>
      </c>
      <c r="R34" t="str">
        <f>IF(AND(40&lt;&gt;13,Anmeldung!$D$47&lt;&gt;"",Anmeldung!$G$47=Anmeldung!$G$20,Anmeldung!$J$47=Anmeldung!$J$20,(Anmeldung!$B$47&amp;": "&amp;Anmeldung!$D$47&amp;", "&amp;Anmeldung!$E$47&amp;" / "&amp;Anmeldung!$G$47&amp;" / "&amp;Anmeldung!$J$47)&lt;&gt;Anmeldung!$P$20),Anmeldung!$B$47&amp;": "&amp;Anmeldung!$D$47&amp;", "&amp;Anmeldung!$E$47&amp;" / "&amp;Anmeldung!$G$47&amp;" / "&amp;Anmeldung!$J$47,"")</f>
        <v/>
      </c>
      <c r="S34" t="str">
        <f>IF(AND(40&lt;&gt;13,Anmeldung!$D$47&lt;&gt;"",Anmeldung!$G$47=Anmeldung!$G$20,Anmeldung!$J$47=Anmeldung!$J$20,(Anmeldung!$B$47&amp;": "&amp;Anmeldung!$D$47&amp;", "&amp;Anmeldung!$E$47&amp;" / "&amp;Anmeldung!$G$47&amp;" / "&amp;Anmeldung!$J$47)&lt;&gt;Anmeldung!$O$20),Anmeldung!$B$47&amp;": "&amp;Anmeldung!$D$47&amp;", "&amp;Anmeldung!$E$47&amp;" / "&amp;Anmeldung!$G$47&amp;" / "&amp;Anmeldung!$J$47,"")</f>
        <v/>
      </c>
      <c r="T34" t="str">
        <f>IF(AND(40&lt;&gt;13,Anmeldung!$D$47&lt;&gt;"",Anmeldung!$G$47&lt;&gt;Anmeldung!$G$20,(Anmeldung!$B$47&amp;": "&amp;Anmeldung!$D$47&amp;", "&amp;Anmeldung!$E$47&amp;" / "&amp;Anmeldung!$G$47&amp;" / "&amp;Anmeldung!$J$47)&lt;&gt;Anmeldung!$S$20),Anmeldung!$B$47&amp;": "&amp;Anmeldung!$D$47&amp;", "&amp;Anmeldung!$E$47&amp;" / "&amp;Anmeldung!$G$47&amp;" / "&amp;Anmeldung!$J$47,"")</f>
        <v/>
      </c>
      <c r="U34" t="str">
        <f>IF(AND(40&lt;&gt;13,Anmeldung!$D$47&lt;&gt;"",(Anmeldung!$B$47&amp;": "&amp;Anmeldung!$D$47&amp;", "&amp;Anmeldung!$E$47&amp;" / "&amp;Anmeldung!$G$47&amp;" / "&amp;Anmeldung!$J$47)&lt;&gt;Anmeldung!$R$20),Anmeldung!$B$47&amp;": "&amp;Anmeldung!$D$47&amp;", "&amp;Anmeldung!$E$47&amp;" / "&amp;Anmeldung!$G$47&amp;" / "&amp;Anmeldung!$J$47,"")</f>
        <v/>
      </c>
      <c r="V34" t="str">
        <f>IF(AND(39&lt;&gt;12,Anmeldung!$D$47&lt;&gt;"",Anmeldung!$U$47="Ja",Anmeldung!$G$47=Anmeldung!$G$20,Anmeldung!$J$47=Anmeldung!$J$20),Anmeldung!$B$47&amp;": "&amp;Anmeldung!$D$47&amp;", "&amp;Anmeldung!$E$47&amp;" / "&amp;Anmeldung!$G$47&amp;" / "&amp;Anmeldung!$J$47,"")</f>
        <v/>
      </c>
      <c r="Y34" t="str">
        <f>IF(AND(40&lt;&gt;14,Anmeldung!$D$47&lt;&gt;"",Anmeldung!$G$47=Anmeldung!$G$21,Anmeldung!$J$47=Anmeldung!$J$21),Anmeldung!$B$47&amp;": "&amp;Anmeldung!$D$47&amp;", "&amp;Anmeldung!$E$47&amp;" / "&amp;Anmeldung!$G$47&amp;" / "&amp;Anmeldung!$J$47,"")</f>
        <v/>
      </c>
      <c r="Z34" t="str">
        <f>IF(AND(40&lt;&gt;14,Anmeldung!$D$47&lt;&gt;"",Anmeldung!$G$47=Anmeldung!$G$21,Anmeldung!$J$47=Anmeldung!$J$21,(Anmeldung!$B$47&amp;": "&amp;Anmeldung!$D$47&amp;", "&amp;Anmeldung!$E$47&amp;" / "&amp;Anmeldung!$G$47&amp;" / "&amp;Anmeldung!$J$47)&lt;&gt;Anmeldung!$P$21),Anmeldung!$B$47&amp;": "&amp;Anmeldung!$D$47&amp;", "&amp;Anmeldung!$E$47&amp;" / "&amp;Anmeldung!$G$47&amp;" / "&amp;Anmeldung!$J$47,"")</f>
        <v/>
      </c>
      <c r="AA34" t="str">
        <f>IF(AND(40&lt;&gt;14,Anmeldung!$D$47&lt;&gt;"",Anmeldung!$G$47=Anmeldung!$G$21,Anmeldung!$J$47=Anmeldung!$J$21,(Anmeldung!$B$47&amp;": "&amp;Anmeldung!$D$47&amp;", "&amp;Anmeldung!$E$47&amp;" / "&amp;Anmeldung!$G$47&amp;" / "&amp;Anmeldung!$J$47)&lt;&gt;Anmeldung!$O$21),Anmeldung!$B$47&amp;": "&amp;Anmeldung!$D$47&amp;", "&amp;Anmeldung!$E$47&amp;" / "&amp;Anmeldung!$G$47&amp;" / "&amp;Anmeldung!$J$47,"")</f>
        <v/>
      </c>
      <c r="AB34" t="str">
        <f>IF(AND(40&lt;&gt;14,Anmeldung!$D$47&lt;&gt;"",Anmeldung!$G$47&lt;&gt;Anmeldung!$G$21,(Anmeldung!$B$47&amp;": "&amp;Anmeldung!$D$47&amp;", "&amp;Anmeldung!$E$47&amp;" / "&amp;Anmeldung!$G$47&amp;" / "&amp;Anmeldung!$J$47)&lt;&gt;Anmeldung!$S$21),Anmeldung!$B$47&amp;": "&amp;Anmeldung!$D$47&amp;", "&amp;Anmeldung!$E$47&amp;" / "&amp;Anmeldung!$G$47&amp;" / "&amp;Anmeldung!$J$47,"")</f>
        <v/>
      </c>
      <c r="AC34" t="str">
        <f>IF(AND(40&lt;&gt;14,Anmeldung!$D$47&lt;&gt;"",(Anmeldung!$B$47&amp;": "&amp;Anmeldung!$D$47&amp;", "&amp;Anmeldung!$E$47&amp;" / "&amp;Anmeldung!$G$47&amp;" / "&amp;Anmeldung!$J$47)&lt;&gt;Anmeldung!$R$21),Anmeldung!$B$47&amp;": "&amp;Anmeldung!$D$47&amp;", "&amp;Anmeldung!$E$47&amp;" / "&amp;Anmeldung!$G$47&amp;" / "&amp;Anmeldung!$J$47,"")</f>
        <v/>
      </c>
      <c r="AD34" t="str">
        <f>IF(AND(39&lt;&gt;13,Anmeldung!$D$47&lt;&gt;"",Anmeldung!$U$47="Ja",Anmeldung!$G$47=Anmeldung!$G$21,Anmeldung!$J$47=Anmeldung!$J$21),Anmeldung!$B$47&amp;": "&amp;Anmeldung!$D$47&amp;", "&amp;Anmeldung!$E$47&amp;" / "&amp;Anmeldung!$G$47&amp;" / "&amp;Anmeldung!$J$47,"")</f>
        <v/>
      </c>
      <c r="AG34" t="str">
        <f>IF(AND(40&lt;&gt;15,Anmeldung!$D$47&lt;&gt;"",Anmeldung!$G$47=Anmeldung!$G$22,Anmeldung!$J$47=Anmeldung!$J$22),Anmeldung!$B$47&amp;": "&amp;Anmeldung!$D$47&amp;", "&amp;Anmeldung!$E$47&amp;" / "&amp;Anmeldung!$G$47&amp;" / "&amp;Anmeldung!$J$47,"")</f>
        <v/>
      </c>
      <c r="AH34" t="str">
        <f>IF(AND(40&lt;&gt;15,Anmeldung!$D$47&lt;&gt;"",Anmeldung!$G$47=Anmeldung!$G$22,Anmeldung!$J$47=Anmeldung!$J$22,(Anmeldung!$B$47&amp;": "&amp;Anmeldung!$D$47&amp;", "&amp;Anmeldung!$E$47&amp;" / "&amp;Anmeldung!$G$47&amp;" / "&amp;Anmeldung!$J$47)&lt;&gt;Anmeldung!$P$22),Anmeldung!$B$47&amp;": "&amp;Anmeldung!$D$47&amp;", "&amp;Anmeldung!$E$47&amp;" / "&amp;Anmeldung!$G$47&amp;" / "&amp;Anmeldung!$J$47,"")</f>
        <v/>
      </c>
      <c r="AI34" t="str">
        <f>IF(AND(40&lt;&gt;15,Anmeldung!$D$47&lt;&gt;"",Anmeldung!$G$47=Anmeldung!$G$22,Anmeldung!$J$47=Anmeldung!$J$22,(Anmeldung!$B$47&amp;": "&amp;Anmeldung!$D$47&amp;", "&amp;Anmeldung!$E$47&amp;" / "&amp;Anmeldung!$G$47&amp;" / "&amp;Anmeldung!$J$47)&lt;&gt;Anmeldung!$O$22),Anmeldung!$B$47&amp;": "&amp;Anmeldung!$D$47&amp;", "&amp;Anmeldung!$E$47&amp;" / "&amp;Anmeldung!$G$47&amp;" / "&amp;Anmeldung!$J$47,"")</f>
        <v/>
      </c>
      <c r="AJ34" t="str">
        <f>IF(AND(40&lt;&gt;15,Anmeldung!$D$47&lt;&gt;"",Anmeldung!$G$47&lt;&gt;Anmeldung!$G$22,(Anmeldung!$B$47&amp;": "&amp;Anmeldung!$D$47&amp;", "&amp;Anmeldung!$E$47&amp;" / "&amp;Anmeldung!$G$47&amp;" / "&amp;Anmeldung!$J$47)&lt;&gt;Anmeldung!$S$22),Anmeldung!$B$47&amp;": "&amp;Anmeldung!$D$47&amp;", "&amp;Anmeldung!$E$47&amp;" / "&amp;Anmeldung!$G$47&amp;" / "&amp;Anmeldung!$J$47,"")</f>
        <v/>
      </c>
      <c r="AK34" t="str">
        <f>IF(AND(40&lt;&gt;15,Anmeldung!$D$47&lt;&gt;"",(Anmeldung!$B$47&amp;": "&amp;Anmeldung!$D$47&amp;", "&amp;Anmeldung!$E$47&amp;" / "&amp;Anmeldung!$G$47&amp;" / "&amp;Anmeldung!$J$47)&lt;&gt;Anmeldung!$R$22),Anmeldung!$B$47&amp;": "&amp;Anmeldung!$D$47&amp;", "&amp;Anmeldung!$E$47&amp;" / "&amp;Anmeldung!$G$47&amp;" / "&amp;Anmeldung!$J$47,"")</f>
        <v/>
      </c>
      <c r="AL34" t="str">
        <f>IF(AND(39&lt;&gt;14,Anmeldung!$D$47&lt;&gt;"",Anmeldung!$U$47="Ja",Anmeldung!$G$47=Anmeldung!$G$22,Anmeldung!$J$47=Anmeldung!$J$22),Anmeldung!$B$47&amp;": "&amp;Anmeldung!$D$47&amp;", "&amp;Anmeldung!$E$47&amp;" / "&amp;Anmeldung!$G$47&amp;" / "&amp;Anmeldung!$J$47,"")</f>
        <v/>
      </c>
      <c r="AO34" t="str">
        <f>IF(AND(40&lt;&gt;16,Anmeldung!$D$47&lt;&gt;"",Anmeldung!$G$47=Anmeldung!$G$23,Anmeldung!$J$47=Anmeldung!$J$23),Anmeldung!$B$47&amp;": "&amp;Anmeldung!$D$47&amp;", "&amp;Anmeldung!$E$47&amp;" / "&amp;Anmeldung!$G$47&amp;" / "&amp;Anmeldung!$J$47,"")</f>
        <v/>
      </c>
      <c r="AP34" t="str">
        <f>IF(AND(40&lt;&gt;16,Anmeldung!$D$47&lt;&gt;"",Anmeldung!$G$47=Anmeldung!$G$23,Anmeldung!$J$47=Anmeldung!$J$23,(Anmeldung!$B$47&amp;": "&amp;Anmeldung!$D$47&amp;", "&amp;Anmeldung!$E$47&amp;" / "&amp;Anmeldung!$G$47&amp;" / "&amp;Anmeldung!$J$47)&lt;&gt;Anmeldung!$P$23),Anmeldung!$B$47&amp;": "&amp;Anmeldung!$D$47&amp;", "&amp;Anmeldung!$E$47&amp;" / "&amp;Anmeldung!$G$47&amp;" / "&amp;Anmeldung!$J$47,"")</f>
        <v/>
      </c>
      <c r="AQ34" t="str">
        <f>IF(AND(40&lt;&gt;16,Anmeldung!$D$47&lt;&gt;"",Anmeldung!$G$47=Anmeldung!$G$23,Anmeldung!$J$47=Anmeldung!$J$23,(Anmeldung!$B$47&amp;": "&amp;Anmeldung!$D$47&amp;", "&amp;Anmeldung!$E$47&amp;" / "&amp;Anmeldung!$G$47&amp;" / "&amp;Anmeldung!$J$47)&lt;&gt;Anmeldung!$O$23),Anmeldung!$B$47&amp;": "&amp;Anmeldung!$D$47&amp;", "&amp;Anmeldung!$E$47&amp;" / "&amp;Anmeldung!$G$47&amp;" / "&amp;Anmeldung!$J$47,"")</f>
        <v/>
      </c>
      <c r="AR34" t="str">
        <f>IF(AND(40&lt;&gt;16,Anmeldung!$D$47&lt;&gt;"",Anmeldung!$G$47&lt;&gt;Anmeldung!$G$23,(Anmeldung!$B$47&amp;": "&amp;Anmeldung!$D$47&amp;", "&amp;Anmeldung!$E$47&amp;" / "&amp;Anmeldung!$G$47&amp;" / "&amp;Anmeldung!$J$47)&lt;&gt;Anmeldung!$S$23),Anmeldung!$B$47&amp;": "&amp;Anmeldung!$D$47&amp;", "&amp;Anmeldung!$E$47&amp;" / "&amp;Anmeldung!$G$47&amp;" / "&amp;Anmeldung!$J$47,"")</f>
        <v/>
      </c>
      <c r="AS34" t="str">
        <f>IF(AND(40&lt;&gt;16,Anmeldung!$D$47&lt;&gt;"",(Anmeldung!$B$47&amp;": "&amp;Anmeldung!$D$47&amp;", "&amp;Anmeldung!$E$47&amp;" / "&amp;Anmeldung!$G$47&amp;" / "&amp;Anmeldung!$J$47)&lt;&gt;Anmeldung!$R$23),Anmeldung!$B$47&amp;": "&amp;Anmeldung!$D$47&amp;", "&amp;Anmeldung!$E$47&amp;" / "&amp;Anmeldung!$G$47&amp;" / "&amp;Anmeldung!$J$47,"")</f>
        <v/>
      </c>
      <c r="AT34" t="str">
        <f>IF(AND(39&lt;&gt;15,Anmeldung!$D$47&lt;&gt;"",Anmeldung!$U$47="Ja",Anmeldung!$G$47=Anmeldung!$G$23,Anmeldung!$J$47=Anmeldung!$J$23),Anmeldung!$B$47&amp;": "&amp;Anmeldung!$D$47&amp;", "&amp;Anmeldung!$E$47&amp;" / "&amp;Anmeldung!$G$47&amp;" / "&amp;Anmeldung!$J$47,"")</f>
        <v/>
      </c>
      <c r="AW34" t="str">
        <f>IF(AND(40&lt;&gt;17,Anmeldung!$D$47&lt;&gt;"",Anmeldung!$G$47=Anmeldung!$G$24,Anmeldung!$J$47=Anmeldung!$J$24),Anmeldung!$B$47&amp;": "&amp;Anmeldung!$D$47&amp;", "&amp;Anmeldung!$E$47&amp;" / "&amp;Anmeldung!$G$47&amp;" / "&amp;Anmeldung!$J$47,"")</f>
        <v/>
      </c>
      <c r="AX34" t="str">
        <f>IF(AND(40&lt;&gt;17,Anmeldung!$D$47&lt;&gt;"",Anmeldung!$G$47=Anmeldung!$G$24,Anmeldung!$J$47=Anmeldung!$J$24,(Anmeldung!$B$47&amp;": "&amp;Anmeldung!$D$47&amp;", "&amp;Anmeldung!$E$47&amp;" / "&amp;Anmeldung!$G$47&amp;" / "&amp;Anmeldung!$J$47)&lt;&gt;Anmeldung!$P$24),Anmeldung!$B$47&amp;": "&amp;Anmeldung!$D$47&amp;", "&amp;Anmeldung!$E$47&amp;" / "&amp;Anmeldung!$G$47&amp;" / "&amp;Anmeldung!$J$47,"")</f>
        <v/>
      </c>
      <c r="AY34" t="str">
        <f>IF(AND(40&lt;&gt;17,Anmeldung!$D$47&lt;&gt;"",Anmeldung!$G$47=Anmeldung!$G$24,Anmeldung!$J$47=Anmeldung!$J$24,(Anmeldung!$B$47&amp;": "&amp;Anmeldung!$D$47&amp;", "&amp;Anmeldung!$E$47&amp;" / "&amp;Anmeldung!$G$47&amp;" / "&amp;Anmeldung!$J$47)&lt;&gt;Anmeldung!$O$24),Anmeldung!$B$47&amp;": "&amp;Anmeldung!$D$47&amp;", "&amp;Anmeldung!$E$47&amp;" / "&amp;Anmeldung!$G$47&amp;" / "&amp;Anmeldung!$J$47,"")</f>
        <v/>
      </c>
      <c r="AZ34" t="str">
        <f>IF(AND(40&lt;&gt;17,Anmeldung!$D$47&lt;&gt;"",Anmeldung!$G$47&lt;&gt;Anmeldung!$G$24,(Anmeldung!$B$47&amp;": "&amp;Anmeldung!$D$47&amp;", "&amp;Anmeldung!$E$47&amp;" / "&amp;Anmeldung!$G$47&amp;" / "&amp;Anmeldung!$J$47)&lt;&gt;Anmeldung!$S$24),Anmeldung!$B$47&amp;": "&amp;Anmeldung!$D$47&amp;", "&amp;Anmeldung!$E$47&amp;" / "&amp;Anmeldung!$G$47&amp;" / "&amp;Anmeldung!$J$47,"")</f>
        <v/>
      </c>
      <c r="BA34" t="str">
        <f>IF(AND(40&lt;&gt;17,Anmeldung!$D$47&lt;&gt;"",(Anmeldung!$B$47&amp;": "&amp;Anmeldung!$D$47&amp;", "&amp;Anmeldung!$E$47&amp;" / "&amp;Anmeldung!$G$47&amp;" / "&amp;Anmeldung!$J$47)&lt;&gt;Anmeldung!$R$24),Anmeldung!$B$47&amp;": "&amp;Anmeldung!$D$47&amp;", "&amp;Anmeldung!$E$47&amp;" / "&amp;Anmeldung!$G$47&amp;" / "&amp;Anmeldung!$J$47,"")</f>
        <v/>
      </c>
      <c r="BB34" t="str">
        <f>IF(AND(39&lt;&gt;16,Anmeldung!$D$47&lt;&gt;"",Anmeldung!$U$47="Ja",Anmeldung!$G$47=Anmeldung!$G$24,Anmeldung!$J$47=Anmeldung!$J$24),Anmeldung!$B$47&amp;": "&amp;Anmeldung!$D$47&amp;", "&amp;Anmeldung!$E$47&amp;" / "&amp;Anmeldung!$G$47&amp;" / "&amp;Anmeldung!$J$47,"")</f>
        <v/>
      </c>
      <c r="BE34" t="str">
        <f>IF(AND(40&lt;&gt;18,Anmeldung!$D$47&lt;&gt;"",Anmeldung!$G$47=Anmeldung!$G$25,Anmeldung!$J$47=Anmeldung!$J$25),Anmeldung!$B$47&amp;": "&amp;Anmeldung!$D$47&amp;", "&amp;Anmeldung!$E$47&amp;" / "&amp;Anmeldung!$G$47&amp;" / "&amp;Anmeldung!$J$47,"")</f>
        <v/>
      </c>
      <c r="BF34" t="str">
        <f>IF(AND(40&lt;&gt;18,Anmeldung!$D$47&lt;&gt;"",Anmeldung!$G$47=Anmeldung!$G$25,Anmeldung!$J$47=Anmeldung!$J$25,(Anmeldung!$B$47&amp;": "&amp;Anmeldung!$D$47&amp;", "&amp;Anmeldung!$E$47&amp;" / "&amp;Anmeldung!$G$47&amp;" / "&amp;Anmeldung!$J$47)&lt;&gt;Anmeldung!$P$25),Anmeldung!$B$47&amp;": "&amp;Anmeldung!$D$47&amp;", "&amp;Anmeldung!$E$47&amp;" / "&amp;Anmeldung!$G$47&amp;" / "&amp;Anmeldung!$J$47,"")</f>
        <v/>
      </c>
      <c r="BG34" t="str">
        <f>IF(AND(40&lt;&gt;18,Anmeldung!$D$47&lt;&gt;"",Anmeldung!$G$47=Anmeldung!$G$25,Anmeldung!$J$47=Anmeldung!$J$25,(Anmeldung!$B$47&amp;": "&amp;Anmeldung!$D$47&amp;", "&amp;Anmeldung!$E$47&amp;" / "&amp;Anmeldung!$G$47&amp;" / "&amp;Anmeldung!$J$47)&lt;&gt;Anmeldung!$O$25),Anmeldung!$B$47&amp;": "&amp;Anmeldung!$D$47&amp;", "&amp;Anmeldung!$E$47&amp;" / "&amp;Anmeldung!$G$47&amp;" / "&amp;Anmeldung!$J$47,"")</f>
        <v/>
      </c>
      <c r="BH34" t="str">
        <f>IF(AND(40&lt;&gt;18,Anmeldung!$D$47&lt;&gt;"",Anmeldung!$G$47&lt;&gt;Anmeldung!$G$25,(Anmeldung!$B$47&amp;": "&amp;Anmeldung!$D$47&amp;", "&amp;Anmeldung!$E$47&amp;" / "&amp;Anmeldung!$G$47&amp;" / "&amp;Anmeldung!$J$47)&lt;&gt;Anmeldung!$S$25),Anmeldung!$B$47&amp;": "&amp;Anmeldung!$D$47&amp;", "&amp;Anmeldung!$E$47&amp;" / "&amp;Anmeldung!$G$47&amp;" / "&amp;Anmeldung!$J$47,"")</f>
        <v/>
      </c>
      <c r="BI34" t="str">
        <f>IF(AND(40&lt;&gt;18,Anmeldung!$D$47&lt;&gt;"",(Anmeldung!$B$47&amp;": "&amp;Anmeldung!$D$47&amp;", "&amp;Anmeldung!$E$47&amp;" / "&amp;Anmeldung!$G$47&amp;" / "&amp;Anmeldung!$J$47)&lt;&gt;Anmeldung!$R$25),Anmeldung!$B$47&amp;": "&amp;Anmeldung!$D$47&amp;", "&amp;Anmeldung!$E$47&amp;" / "&amp;Anmeldung!$G$47&amp;" / "&amp;Anmeldung!$J$47,"")</f>
        <v/>
      </c>
      <c r="BJ34" t="str">
        <f>IF(AND(39&lt;&gt;17,Anmeldung!$D$47&lt;&gt;"",Anmeldung!$U$47="Ja",Anmeldung!$G$47=Anmeldung!$G$25,Anmeldung!$J$47=Anmeldung!$J$25),Anmeldung!$B$47&amp;": "&amp;Anmeldung!$D$47&amp;", "&amp;Anmeldung!$E$47&amp;" / "&amp;Anmeldung!$G$47&amp;" / "&amp;Anmeldung!$J$47,"")</f>
        <v/>
      </c>
      <c r="BM34" t="str">
        <f>IF(AND(40&lt;&gt;19,Anmeldung!$D$47&lt;&gt;"",Anmeldung!$G$47=Anmeldung!$G$26,Anmeldung!$J$47=Anmeldung!$J$26),Anmeldung!$B$47&amp;": "&amp;Anmeldung!$D$47&amp;", "&amp;Anmeldung!$E$47&amp;" / "&amp;Anmeldung!$G$47&amp;" / "&amp;Anmeldung!$J$47,"")</f>
        <v/>
      </c>
      <c r="BN34" t="str">
        <f>IF(AND(40&lt;&gt;19,Anmeldung!$D$47&lt;&gt;"",Anmeldung!$G$47=Anmeldung!$G$26,Anmeldung!$J$47=Anmeldung!$J$26,(Anmeldung!$B$47&amp;": "&amp;Anmeldung!$D$47&amp;", "&amp;Anmeldung!$E$47&amp;" / "&amp;Anmeldung!$G$47&amp;" / "&amp;Anmeldung!$J$47)&lt;&gt;Anmeldung!$P$26),Anmeldung!$B$47&amp;": "&amp;Anmeldung!$D$47&amp;", "&amp;Anmeldung!$E$47&amp;" / "&amp;Anmeldung!$G$47&amp;" / "&amp;Anmeldung!$J$47,"")</f>
        <v/>
      </c>
      <c r="BO34" t="str">
        <f>IF(AND(40&lt;&gt;19,Anmeldung!$D$47&lt;&gt;"",Anmeldung!$G$47=Anmeldung!$G$26,Anmeldung!$J$47=Anmeldung!$J$26,(Anmeldung!$B$47&amp;": "&amp;Anmeldung!$D$47&amp;", "&amp;Anmeldung!$E$47&amp;" / "&amp;Anmeldung!$G$47&amp;" / "&amp;Anmeldung!$J$47)&lt;&gt;Anmeldung!$O$26),Anmeldung!$B$47&amp;": "&amp;Anmeldung!$D$47&amp;", "&amp;Anmeldung!$E$47&amp;" / "&amp;Anmeldung!$G$47&amp;" / "&amp;Anmeldung!$J$47,"")</f>
        <v/>
      </c>
      <c r="BP34" t="str">
        <f>IF(AND(40&lt;&gt;19,Anmeldung!$D$47&lt;&gt;"",Anmeldung!$G$47&lt;&gt;Anmeldung!$G$26,(Anmeldung!$B$47&amp;": "&amp;Anmeldung!$D$47&amp;", "&amp;Anmeldung!$E$47&amp;" / "&amp;Anmeldung!$G$47&amp;" / "&amp;Anmeldung!$J$47)&lt;&gt;Anmeldung!$S$26),Anmeldung!$B$47&amp;": "&amp;Anmeldung!$D$47&amp;", "&amp;Anmeldung!$E$47&amp;" / "&amp;Anmeldung!$G$47&amp;" / "&amp;Anmeldung!$J$47,"")</f>
        <v/>
      </c>
      <c r="BQ34" t="str">
        <f>IF(AND(40&lt;&gt;19,Anmeldung!$D$47&lt;&gt;"",(Anmeldung!$B$47&amp;": "&amp;Anmeldung!$D$47&amp;", "&amp;Anmeldung!$E$47&amp;" / "&amp;Anmeldung!$G$47&amp;" / "&amp;Anmeldung!$J$47)&lt;&gt;Anmeldung!$R$26),Anmeldung!$B$47&amp;": "&amp;Anmeldung!$D$47&amp;", "&amp;Anmeldung!$E$47&amp;" / "&amp;Anmeldung!$G$47&amp;" / "&amp;Anmeldung!$J$47,"")</f>
        <v/>
      </c>
      <c r="BR34" t="str">
        <f>IF(AND(39&lt;&gt;18,Anmeldung!$D$47&lt;&gt;"",Anmeldung!$U$47="Ja",Anmeldung!$G$47=Anmeldung!$G$26,Anmeldung!$J$47=Anmeldung!$J$26),Anmeldung!$B$47&amp;": "&amp;Anmeldung!$D$47&amp;", "&amp;Anmeldung!$E$47&amp;" / "&amp;Anmeldung!$G$47&amp;" / "&amp;Anmeldung!$J$47,"")</f>
        <v/>
      </c>
      <c r="BU34" t="str">
        <f>IF(AND(40&lt;&gt;20,Anmeldung!$D$47&lt;&gt;"",Anmeldung!$G$47=Anmeldung!$G$27,Anmeldung!$J$47=Anmeldung!$J$27),Anmeldung!$B$47&amp;": "&amp;Anmeldung!$D$47&amp;", "&amp;Anmeldung!$E$47&amp;" / "&amp;Anmeldung!$G$47&amp;" / "&amp;Anmeldung!$J$47,"")</f>
        <v/>
      </c>
      <c r="BV34" t="str">
        <f>IF(AND(40&lt;&gt;20,Anmeldung!$D$47&lt;&gt;"",Anmeldung!$G$47=Anmeldung!$G$27,Anmeldung!$J$47=Anmeldung!$J$27,(Anmeldung!$B$47&amp;": "&amp;Anmeldung!$D$47&amp;", "&amp;Anmeldung!$E$47&amp;" / "&amp;Anmeldung!$G$47&amp;" / "&amp;Anmeldung!$J$47)&lt;&gt;Anmeldung!$P$27),Anmeldung!$B$47&amp;": "&amp;Anmeldung!$D$47&amp;", "&amp;Anmeldung!$E$47&amp;" / "&amp;Anmeldung!$G$47&amp;" / "&amp;Anmeldung!$J$47,"")</f>
        <v/>
      </c>
      <c r="BW34" t="str">
        <f>IF(AND(40&lt;&gt;20,Anmeldung!$D$47&lt;&gt;"",Anmeldung!$G$47=Anmeldung!$G$27,Anmeldung!$J$47=Anmeldung!$J$27,(Anmeldung!$B$47&amp;": "&amp;Anmeldung!$D$47&amp;", "&amp;Anmeldung!$E$47&amp;" / "&amp;Anmeldung!$G$47&amp;" / "&amp;Anmeldung!$J$47)&lt;&gt;Anmeldung!$O$27),Anmeldung!$B$47&amp;": "&amp;Anmeldung!$D$47&amp;", "&amp;Anmeldung!$E$47&amp;" / "&amp;Anmeldung!$G$47&amp;" / "&amp;Anmeldung!$J$47,"")</f>
        <v/>
      </c>
      <c r="BX34" t="str">
        <f>IF(AND(40&lt;&gt;20,Anmeldung!$D$47&lt;&gt;"",Anmeldung!$G$47&lt;&gt;Anmeldung!$G$27,(Anmeldung!$B$47&amp;": "&amp;Anmeldung!$D$47&amp;", "&amp;Anmeldung!$E$47&amp;" / "&amp;Anmeldung!$G$47&amp;" / "&amp;Anmeldung!$J$47)&lt;&gt;Anmeldung!$S$27),Anmeldung!$B$47&amp;": "&amp;Anmeldung!$D$47&amp;", "&amp;Anmeldung!$E$47&amp;" / "&amp;Anmeldung!$G$47&amp;" / "&amp;Anmeldung!$J$47,"")</f>
        <v/>
      </c>
      <c r="BY34" t="str">
        <f>IF(AND(40&lt;&gt;20,Anmeldung!$D$47&lt;&gt;"",(Anmeldung!$B$47&amp;": "&amp;Anmeldung!$D$47&amp;", "&amp;Anmeldung!$E$47&amp;" / "&amp;Anmeldung!$G$47&amp;" / "&amp;Anmeldung!$J$47)&lt;&gt;Anmeldung!$R$27),Anmeldung!$B$47&amp;": "&amp;Anmeldung!$D$47&amp;", "&amp;Anmeldung!$E$47&amp;" / "&amp;Anmeldung!$G$47&amp;" / "&amp;Anmeldung!$J$47,"")</f>
        <v/>
      </c>
      <c r="BZ34" t="str">
        <f>IF(AND(39&lt;&gt;19,Anmeldung!$D$47&lt;&gt;"",Anmeldung!$U$47="Ja",Anmeldung!$G$47=Anmeldung!$G$27,Anmeldung!$J$47=Anmeldung!$J$27),Anmeldung!$B$47&amp;": "&amp;Anmeldung!$D$47&amp;", "&amp;Anmeldung!$E$47&amp;" / "&amp;Anmeldung!$G$47&amp;" / "&amp;Anmeldung!$J$47,"")</f>
        <v/>
      </c>
      <c r="CC34" t="str">
        <f>IF(AND(40&lt;&gt;21,Anmeldung!$D$47&lt;&gt;"",Anmeldung!$G$47=Anmeldung!$G$28,Anmeldung!$J$47=Anmeldung!$J$28),Anmeldung!$B$47&amp;": "&amp;Anmeldung!$D$47&amp;", "&amp;Anmeldung!$E$47&amp;" / "&amp;Anmeldung!$G$47&amp;" / "&amp;Anmeldung!$J$47,"")</f>
        <v/>
      </c>
      <c r="CD34" t="str">
        <f>IF(AND(40&lt;&gt;21,Anmeldung!$D$47&lt;&gt;"",Anmeldung!$G$47=Anmeldung!$G$28,Anmeldung!$J$47=Anmeldung!$J$28,(Anmeldung!$B$47&amp;": "&amp;Anmeldung!$D$47&amp;", "&amp;Anmeldung!$E$47&amp;" / "&amp;Anmeldung!$G$47&amp;" / "&amp;Anmeldung!$J$47)&lt;&gt;Anmeldung!$P$28),Anmeldung!$B$47&amp;": "&amp;Anmeldung!$D$47&amp;", "&amp;Anmeldung!$E$47&amp;" / "&amp;Anmeldung!$G$47&amp;" / "&amp;Anmeldung!$J$47,"")</f>
        <v/>
      </c>
      <c r="CE34" t="str">
        <f>IF(AND(40&lt;&gt;21,Anmeldung!$D$47&lt;&gt;"",Anmeldung!$G$47=Anmeldung!$G$28,Anmeldung!$J$47=Anmeldung!$J$28,(Anmeldung!$B$47&amp;": "&amp;Anmeldung!$D$47&amp;", "&amp;Anmeldung!$E$47&amp;" / "&amp;Anmeldung!$G$47&amp;" / "&amp;Anmeldung!$J$47)&lt;&gt;Anmeldung!$O$28),Anmeldung!$B$47&amp;": "&amp;Anmeldung!$D$47&amp;", "&amp;Anmeldung!$E$47&amp;" / "&amp;Anmeldung!$G$47&amp;" / "&amp;Anmeldung!$J$47,"")</f>
        <v/>
      </c>
      <c r="CF34" t="str">
        <f>IF(AND(40&lt;&gt;21,Anmeldung!$D$47&lt;&gt;"",Anmeldung!$G$47&lt;&gt;Anmeldung!$G$28,(Anmeldung!$B$47&amp;": "&amp;Anmeldung!$D$47&amp;", "&amp;Anmeldung!$E$47&amp;" / "&amp;Anmeldung!$G$47&amp;" / "&amp;Anmeldung!$J$47)&lt;&gt;Anmeldung!$S$28),Anmeldung!$B$47&amp;": "&amp;Anmeldung!$D$47&amp;", "&amp;Anmeldung!$E$47&amp;" / "&amp;Anmeldung!$G$47&amp;" / "&amp;Anmeldung!$J$47,"")</f>
        <v/>
      </c>
      <c r="CG34" t="str">
        <f>IF(AND(40&lt;&gt;21,Anmeldung!$D$47&lt;&gt;"",(Anmeldung!$B$47&amp;": "&amp;Anmeldung!$D$47&amp;", "&amp;Anmeldung!$E$47&amp;" / "&amp;Anmeldung!$G$47&amp;" / "&amp;Anmeldung!$J$47)&lt;&gt;Anmeldung!$R$28),Anmeldung!$B$47&amp;": "&amp;Anmeldung!$D$47&amp;", "&amp;Anmeldung!$E$47&amp;" / "&amp;Anmeldung!$G$47&amp;" / "&amp;Anmeldung!$J$47,"")</f>
        <v/>
      </c>
      <c r="CH34" t="str">
        <f>IF(AND(39&lt;&gt;20,Anmeldung!$D$47&lt;&gt;"",Anmeldung!$U$47="Ja",Anmeldung!$G$47=Anmeldung!$G$28,Anmeldung!$J$47=Anmeldung!$J$28),Anmeldung!$B$47&amp;": "&amp;Anmeldung!$D$47&amp;", "&amp;Anmeldung!$E$47&amp;" / "&amp;Anmeldung!$G$47&amp;" / "&amp;Anmeldung!$J$47,"")</f>
        <v/>
      </c>
      <c r="CK34" t="str">
        <f>IF(AND(40&lt;&gt;22,Anmeldung!$D$47&lt;&gt;"",Anmeldung!$G$47=Anmeldung!$G$29,Anmeldung!$J$47=Anmeldung!$J$29),Anmeldung!$B$47&amp;": "&amp;Anmeldung!$D$47&amp;", "&amp;Anmeldung!$E$47&amp;" / "&amp;Anmeldung!$G$47&amp;" / "&amp;Anmeldung!$J$47,"")</f>
        <v/>
      </c>
      <c r="CL34" t="str">
        <f>IF(AND(40&lt;&gt;22,Anmeldung!$D$47&lt;&gt;"",Anmeldung!$G$47=Anmeldung!$G$29,Anmeldung!$J$47=Anmeldung!$J$29,(Anmeldung!$B$47&amp;": "&amp;Anmeldung!$D$47&amp;", "&amp;Anmeldung!$E$47&amp;" / "&amp;Anmeldung!$G$47&amp;" / "&amp;Anmeldung!$J$47)&lt;&gt;Anmeldung!$P$29),Anmeldung!$B$47&amp;": "&amp;Anmeldung!$D$47&amp;", "&amp;Anmeldung!$E$47&amp;" / "&amp;Anmeldung!$G$47&amp;" / "&amp;Anmeldung!$J$47,"")</f>
        <v/>
      </c>
      <c r="CM34" t="str">
        <f>IF(AND(40&lt;&gt;22,Anmeldung!$D$47&lt;&gt;"",Anmeldung!$G$47=Anmeldung!$G$29,Anmeldung!$J$47=Anmeldung!$J$29,(Anmeldung!$B$47&amp;": "&amp;Anmeldung!$D$47&amp;", "&amp;Anmeldung!$E$47&amp;" / "&amp;Anmeldung!$G$47&amp;" / "&amp;Anmeldung!$J$47)&lt;&gt;Anmeldung!$O$29),Anmeldung!$B$47&amp;": "&amp;Anmeldung!$D$47&amp;", "&amp;Anmeldung!$E$47&amp;" / "&amp;Anmeldung!$G$47&amp;" / "&amp;Anmeldung!$J$47,"")</f>
        <v/>
      </c>
      <c r="CN34" t="str">
        <f>IF(AND(40&lt;&gt;22,Anmeldung!$D$47&lt;&gt;"",Anmeldung!$G$47&lt;&gt;Anmeldung!$G$29,(Anmeldung!$B$47&amp;": "&amp;Anmeldung!$D$47&amp;", "&amp;Anmeldung!$E$47&amp;" / "&amp;Anmeldung!$G$47&amp;" / "&amp;Anmeldung!$J$47)&lt;&gt;Anmeldung!$S$29),Anmeldung!$B$47&amp;": "&amp;Anmeldung!$D$47&amp;", "&amp;Anmeldung!$E$47&amp;" / "&amp;Anmeldung!$G$47&amp;" / "&amp;Anmeldung!$J$47,"")</f>
        <v/>
      </c>
      <c r="CO34" t="str">
        <f>IF(AND(40&lt;&gt;22,Anmeldung!$D$47&lt;&gt;"",(Anmeldung!$B$47&amp;": "&amp;Anmeldung!$D$47&amp;", "&amp;Anmeldung!$E$47&amp;" / "&amp;Anmeldung!$G$47&amp;" / "&amp;Anmeldung!$J$47)&lt;&gt;Anmeldung!$R$29),Anmeldung!$B$47&amp;": "&amp;Anmeldung!$D$47&amp;", "&amp;Anmeldung!$E$47&amp;" / "&amp;Anmeldung!$G$47&amp;" / "&amp;Anmeldung!$J$47,"")</f>
        <v/>
      </c>
      <c r="CP34" t="str">
        <f>IF(AND(39&lt;&gt;21,Anmeldung!$D$47&lt;&gt;"",Anmeldung!$U$47="Ja",Anmeldung!$G$47=Anmeldung!$G$29,Anmeldung!$J$47=Anmeldung!$J$29),Anmeldung!$B$47&amp;": "&amp;Anmeldung!$D$47&amp;", "&amp;Anmeldung!$E$47&amp;" / "&amp;Anmeldung!$G$47&amp;" / "&amp;Anmeldung!$J$47,"")</f>
        <v/>
      </c>
      <c r="CS34" t="str">
        <f>IF(AND(40&lt;&gt;23,Anmeldung!$D$47&lt;&gt;"",Anmeldung!$G$47=Anmeldung!$G$30,Anmeldung!$J$47=Anmeldung!$J$30),Anmeldung!$B$47&amp;": "&amp;Anmeldung!$D$47&amp;", "&amp;Anmeldung!$E$47&amp;" / "&amp;Anmeldung!$G$47&amp;" / "&amp;Anmeldung!$J$47,"")</f>
        <v/>
      </c>
      <c r="CT34" t="str">
        <f>IF(AND(40&lt;&gt;23,Anmeldung!$D$47&lt;&gt;"",Anmeldung!$G$47=Anmeldung!$G$30,Anmeldung!$J$47=Anmeldung!$J$30,(Anmeldung!$B$47&amp;": "&amp;Anmeldung!$D$47&amp;", "&amp;Anmeldung!$E$47&amp;" / "&amp;Anmeldung!$G$47&amp;" / "&amp;Anmeldung!$J$47)&lt;&gt;Anmeldung!$P$30),Anmeldung!$B$47&amp;": "&amp;Anmeldung!$D$47&amp;", "&amp;Anmeldung!$E$47&amp;" / "&amp;Anmeldung!$G$47&amp;" / "&amp;Anmeldung!$J$47,"")</f>
        <v/>
      </c>
      <c r="CU34" t="str">
        <f>IF(AND(40&lt;&gt;23,Anmeldung!$D$47&lt;&gt;"",Anmeldung!$G$47=Anmeldung!$G$30,Anmeldung!$J$47=Anmeldung!$J$30,(Anmeldung!$B$47&amp;": "&amp;Anmeldung!$D$47&amp;", "&amp;Anmeldung!$E$47&amp;" / "&amp;Anmeldung!$G$47&amp;" / "&amp;Anmeldung!$J$47)&lt;&gt;Anmeldung!$O$30),Anmeldung!$B$47&amp;": "&amp;Anmeldung!$D$47&amp;", "&amp;Anmeldung!$E$47&amp;" / "&amp;Anmeldung!$G$47&amp;" / "&amp;Anmeldung!$J$47,"")</f>
        <v/>
      </c>
      <c r="CV34" t="str">
        <f>IF(AND(40&lt;&gt;23,Anmeldung!$D$47&lt;&gt;"",Anmeldung!$G$47&lt;&gt;Anmeldung!$G$30,(Anmeldung!$B$47&amp;": "&amp;Anmeldung!$D$47&amp;", "&amp;Anmeldung!$E$47&amp;" / "&amp;Anmeldung!$G$47&amp;" / "&amp;Anmeldung!$J$47)&lt;&gt;Anmeldung!$S$30),Anmeldung!$B$47&amp;": "&amp;Anmeldung!$D$47&amp;", "&amp;Anmeldung!$E$47&amp;" / "&amp;Anmeldung!$G$47&amp;" / "&amp;Anmeldung!$J$47,"")</f>
        <v/>
      </c>
      <c r="CW34" t="str">
        <f>IF(AND(40&lt;&gt;23,Anmeldung!$D$47&lt;&gt;"",(Anmeldung!$B$47&amp;": "&amp;Anmeldung!$D$47&amp;", "&amp;Anmeldung!$E$47&amp;" / "&amp;Anmeldung!$G$47&amp;" / "&amp;Anmeldung!$J$47)&lt;&gt;Anmeldung!$R$30),Anmeldung!$B$47&amp;": "&amp;Anmeldung!$D$47&amp;", "&amp;Anmeldung!$E$47&amp;" / "&amp;Anmeldung!$G$47&amp;" / "&amp;Anmeldung!$J$47,"")</f>
        <v/>
      </c>
      <c r="CX34" t="str">
        <f>IF(AND(39&lt;&gt;22,Anmeldung!$D$47&lt;&gt;"",Anmeldung!$U$47="Ja",Anmeldung!$G$47=Anmeldung!$G$30,Anmeldung!$J$47=Anmeldung!$J$30),Anmeldung!$B$47&amp;": "&amp;Anmeldung!$D$47&amp;", "&amp;Anmeldung!$E$47&amp;" / "&amp;Anmeldung!$G$47&amp;" / "&amp;Anmeldung!$J$47,"")</f>
        <v/>
      </c>
      <c r="DA34" t="str">
        <f>IF(AND(40&lt;&gt;24,Anmeldung!$D$47&lt;&gt;"",Anmeldung!$G$47=Anmeldung!$G$31,Anmeldung!$J$47=Anmeldung!$J$31),Anmeldung!$B$47&amp;": "&amp;Anmeldung!$D$47&amp;", "&amp;Anmeldung!$E$47&amp;" / "&amp;Anmeldung!$G$47&amp;" / "&amp;Anmeldung!$J$47,"")</f>
        <v/>
      </c>
      <c r="DB34" t="str">
        <f>IF(AND(40&lt;&gt;24,Anmeldung!$D$47&lt;&gt;"",Anmeldung!$G$47=Anmeldung!$G$31,Anmeldung!$J$47=Anmeldung!$J$31,(Anmeldung!$B$47&amp;": "&amp;Anmeldung!$D$47&amp;", "&amp;Anmeldung!$E$47&amp;" / "&amp;Anmeldung!$G$47&amp;" / "&amp;Anmeldung!$J$47)&lt;&gt;Anmeldung!$P$31),Anmeldung!$B$47&amp;": "&amp;Anmeldung!$D$47&amp;", "&amp;Anmeldung!$E$47&amp;" / "&amp;Anmeldung!$G$47&amp;" / "&amp;Anmeldung!$J$47,"")</f>
        <v/>
      </c>
      <c r="DC34" t="str">
        <f>IF(AND(40&lt;&gt;24,Anmeldung!$D$47&lt;&gt;"",Anmeldung!$G$47=Anmeldung!$G$31,Anmeldung!$J$47=Anmeldung!$J$31,(Anmeldung!$B$47&amp;": "&amp;Anmeldung!$D$47&amp;", "&amp;Anmeldung!$E$47&amp;" / "&amp;Anmeldung!$G$47&amp;" / "&amp;Anmeldung!$J$47)&lt;&gt;Anmeldung!$O$31),Anmeldung!$B$47&amp;": "&amp;Anmeldung!$D$47&amp;", "&amp;Anmeldung!$E$47&amp;" / "&amp;Anmeldung!$G$47&amp;" / "&amp;Anmeldung!$J$47,"")</f>
        <v/>
      </c>
      <c r="DD34" t="str">
        <f>IF(AND(40&lt;&gt;24,Anmeldung!$D$47&lt;&gt;"",Anmeldung!$G$47&lt;&gt;Anmeldung!$G$31,(Anmeldung!$B$47&amp;": "&amp;Anmeldung!$D$47&amp;", "&amp;Anmeldung!$E$47&amp;" / "&amp;Anmeldung!$G$47&amp;" / "&amp;Anmeldung!$J$47)&lt;&gt;Anmeldung!$S$31),Anmeldung!$B$47&amp;": "&amp;Anmeldung!$D$47&amp;", "&amp;Anmeldung!$E$47&amp;" / "&amp;Anmeldung!$G$47&amp;" / "&amp;Anmeldung!$J$47,"")</f>
        <v/>
      </c>
      <c r="DE34" t="str">
        <f>IF(AND(40&lt;&gt;24,Anmeldung!$D$47&lt;&gt;"",(Anmeldung!$B$47&amp;": "&amp;Anmeldung!$D$47&amp;", "&amp;Anmeldung!$E$47&amp;" / "&amp;Anmeldung!$G$47&amp;" / "&amp;Anmeldung!$J$47)&lt;&gt;Anmeldung!$R$31),Anmeldung!$B$47&amp;": "&amp;Anmeldung!$D$47&amp;", "&amp;Anmeldung!$E$47&amp;" / "&amp;Anmeldung!$G$47&amp;" / "&amp;Anmeldung!$J$47,"")</f>
        <v/>
      </c>
      <c r="DF34" t="str">
        <f>IF(AND(39&lt;&gt;23,Anmeldung!$D$47&lt;&gt;"",Anmeldung!$U$47="Ja",Anmeldung!$G$47=Anmeldung!$G$31,Anmeldung!$J$47=Anmeldung!$J$31),Anmeldung!$B$47&amp;": "&amp;Anmeldung!$D$47&amp;", "&amp;Anmeldung!$E$47&amp;" / "&amp;Anmeldung!$G$47&amp;" / "&amp;Anmeldung!$J$47,"")</f>
        <v/>
      </c>
      <c r="DI34" t="str">
        <f>IF(AND(40&lt;&gt;25,Anmeldung!$D$47&lt;&gt;"",Anmeldung!$G$47=Anmeldung!$G$32,Anmeldung!$J$47=Anmeldung!$J$32),Anmeldung!$B$47&amp;": "&amp;Anmeldung!$D$47&amp;", "&amp;Anmeldung!$E$47&amp;" / "&amp;Anmeldung!$G$47&amp;" / "&amp;Anmeldung!$J$47,"")</f>
        <v/>
      </c>
      <c r="DJ34" t="str">
        <f>IF(AND(40&lt;&gt;25,Anmeldung!$D$47&lt;&gt;"",Anmeldung!$G$47=Anmeldung!$G$32,Anmeldung!$J$47=Anmeldung!$J$32,(Anmeldung!$B$47&amp;": "&amp;Anmeldung!$D$47&amp;", "&amp;Anmeldung!$E$47&amp;" / "&amp;Anmeldung!$G$47&amp;" / "&amp;Anmeldung!$J$47)&lt;&gt;Anmeldung!$P$32),Anmeldung!$B$47&amp;": "&amp;Anmeldung!$D$47&amp;", "&amp;Anmeldung!$E$47&amp;" / "&amp;Anmeldung!$G$47&amp;" / "&amp;Anmeldung!$J$47,"")</f>
        <v/>
      </c>
      <c r="DK34" t="str">
        <f>IF(AND(40&lt;&gt;25,Anmeldung!$D$47&lt;&gt;"",Anmeldung!$G$47=Anmeldung!$G$32,Anmeldung!$J$47=Anmeldung!$J$32,(Anmeldung!$B$47&amp;": "&amp;Anmeldung!$D$47&amp;", "&amp;Anmeldung!$E$47&amp;" / "&amp;Anmeldung!$G$47&amp;" / "&amp;Anmeldung!$J$47)&lt;&gt;Anmeldung!$O$32),Anmeldung!$B$47&amp;": "&amp;Anmeldung!$D$47&amp;", "&amp;Anmeldung!$E$47&amp;" / "&amp;Anmeldung!$G$47&amp;" / "&amp;Anmeldung!$J$47,"")</f>
        <v/>
      </c>
      <c r="DL34" t="str">
        <f>IF(AND(40&lt;&gt;25,Anmeldung!$D$47&lt;&gt;"",Anmeldung!$G$47&lt;&gt;Anmeldung!$G$32,(Anmeldung!$B$47&amp;": "&amp;Anmeldung!$D$47&amp;", "&amp;Anmeldung!$E$47&amp;" / "&amp;Anmeldung!$G$47&amp;" / "&amp;Anmeldung!$J$47)&lt;&gt;Anmeldung!$S$32),Anmeldung!$B$47&amp;": "&amp;Anmeldung!$D$47&amp;", "&amp;Anmeldung!$E$47&amp;" / "&amp;Anmeldung!$G$47&amp;" / "&amp;Anmeldung!$J$47,"")</f>
        <v/>
      </c>
      <c r="DM34" t="str">
        <f>IF(AND(40&lt;&gt;25,Anmeldung!$D$47&lt;&gt;"",(Anmeldung!$B$47&amp;": "&amp;Anmeldung!$D$47&amp;", "&amp;Anmeldung!$E$47&amp;" / "&amp;Anmeldung!$G$47&amp;" / "&amp;Anmeldung!$J$47)&lt;&gt;Anmeldung!$R$32),Anmeldung!$B$47&amp;": "&amp;Anmeldung!$D$47&amp;", "&amp;Anmeldung!$E$47&amp;" / "&amp;Anmeldung!$G$47&amp;" / "&amp;Anmeldung!$J$47,"")</f>
        <v/>
      </c>
      <c r="DN34" t="str">
        <f>IF(AND(39&lt;&gt;24,Anmeldung!$D$47&lt;&gt;"",Anmeldung!$U$47="Ja",Anmeldung!$G$47=Anmeldung!$G$32,Anmeldung!$J$47=Anmeldung!$J$32),Anmeldung!$B$47&amp;": "&amp;Anmeldung!$D$47&amp;", "&amp;Anmeldung!$E$47&amp;" / "&amp;Anmeldung!$G$47&amp;" / "&amp;Anmeldung!$J$47,"")</f>
        <v/>
      </c>
      <c r="DQ34" t="str">
        <f>IF(AND(40&lt;&gt;26,Anmeldung!$D$47&lt;&gt;"",Anmeldung!$G$47=Anmeldung!$G$33,Anmeldung!$J$47=Anmeldung!$J$33),Anmeldung!$B$47&amp;": "&amp;Anmeldung!$D$47&amp;", "&amp;Anmeldung!$E$47&amp;" / "&amp;Anmeldung!$G$47&amp;" / "&amp;Anmeldung!$J$47,"")</f>
        <v/>
      </c>
      <c r="DR34" t="str">
        <f>IF(AND(40&lt;&gt;26,Anmeldung!$D$47&lt;&gt;"",Anmeldung!$G$47=Anmeldung!$G$33,Anmeldung!$J$47=Anmeldung!$J$33,(Anmeldung!$B$47&amp;": "&amp;Anmeldung!$D$47&amp;", "&amp;Anmeldung!$E$47&amp;" / "&amp;Anmeldung!$G$47&amp;" / "&amp;Anmeldung!$J$47)&lt;&gt;Anmeldung!$P$33),Anmeldung!$B$47&amp;": "&amp;Anmeldung!$D$47&amp;", "&amp;Anmeldung!$E$47&amp;" / "&amp;Anmeldung!$G$47&amp;" / "&amp;Anmeldung!$J$47,"")</f>
        <v/>
      </c>
      <c r="DS34" t="str">
        <f>IF(AND(40&lt;&gt;26,Anmeldung!$D$47&lt;&gt;"",Anmeldung!$G$47=Anmeldung!$G$33,Anmeldung!$J$47=Anmeldung!$J$33,(Anmeldung!$B$47&amp;": "&amp;Anmeldung!$D$47&amp;", "&amp;Anmeldung!$E$47&amp;" / "&amp;Anmeldung!$G$47&amp;" / "&amp;Anmeldung!$J$47)&lt;&gt;Anmeldung!$O$33),Anmeldung!$B$47&amp;": "&amp;Anmeldung!$D$47&amp;", "&amp;Anmeldung!$E$47&amp;" / "&amp;Anmeldung!$G$47&amp;" / "&amp;Anmeldung!$J$47,"")</f>
        <v/>
      </c>
      <c r="DT34" t="str">
        <f>IF(AND(40&lt;&gt;26,Anmeldung!$D$47&lt;&gt;"",Anmeldung!$G$47&lt;&gt;Anmeldung!$G$33,(Anmeldung!$B$47&amp;": "&amp;Anmeldung!$D$47&amp;", "&amp;Anmeldung!$E$47&amp;" / "&amp;Anmeldung!$G$47&amp;" / "&amp;Anmeldung!$J$47)&lt;&gt;Anmeldung!$S$33),Anmeldung!$B$47&amp;": "&amp;Anmeldung!$D$47&amp;", "&amp;Anmeldung!$E$47&amp;" / "&amp;Anmeldung!$G$47&amp;" / "&amp;Anmeldung!$J$47,"")</f>
        <v/>
      </c>
      <c r="DU34" t="str">
        <f>IF(AND(40&lt;&gt;26,Anmeldung!$D$47&lt;&gt;"",(Anmeldung!$B$47&amp;": "&amp;Anmeldung!$D$47&amp;", "&amp;Anmeldung!$E$47&amp;" / "&amp;Anmeldung!$G$47&amp;" / "&amp;Anmeldung!$J$47)&lt;&gt;Anmeldung!$R$33),Anmeldung!$B$47&amp;": "&amp;Anmeldung!$D$47&amp;", "&amp;Anmeldung!$E$47&amp;" / "&amp;Anmeldung!$G$47&amp;" / "&amp;Anmeldung!$J$47,"")</f>
        <v/>
      </c>
      <c r="DV34" t="str">
        <f>IF(AND(39&lt;&gt;25,Anmeldung!$D$47&lt;&gt;"",Anmeldung!$U$47="Ja",Anmeldung!$G$47=Anmeldung!$G$33,Anmeldung!$J$47=Anmeldung!$J$33),Anmeldung!$B$47&amp;": "&amp;Anmeldung!$D$47&amp;", "&amp;Anmeldung!$E$47&amp;" / "&amp;Anmeldung!$G$47&amp;" / "&amp;Anmeldung!$J$47,"")</f>
        <v/>
      </c>
      <c r="DY34" t="str">
        <f>IF(AND(40&lt;&gt;27,Anmeldung!$D$47&lt;&gt;"",Anmeldung!$G$47=Anmeldung!$G$34,Anmeldung!$J$47=Anmeldung!$J$34),Anmeldung!$B$47&amp;": "&amp;Anmeldung!$D$47&amp;", "&amp;Anmeldung!$E$47&amp;" / "&amp;Anmeldung!$G$47&amp;" / "&amp;Anmeldung!$J$47,"")</f>
        <v/>
      </c>
      <c r="DZ34" t="str">
        <f>IF(AND(40&lt;&gt;27,Anmeldung!$D$47&lt;&gt;"",Anmeldung!$G$47=Anmeldung!$G$34,Anmeldung!$J$47=Anmeldung!$J$34,(Anmeldung!$B$47&amp;": "&amp;Anmeldung!$D$47&amp;", "&amp;Anmeldung!$E$47&amp;" / "&amp;Anmeldung!$G$47&amp;" / "&amp;Anmeldung!$J$47)&lt;&gt;Anmeldung!$P$34),Anmeldung!$B$47&amp;": "&amp;Anmeldung!$D$47&amp;", "&amp;Anmeldung!$E$47&amp;" / "&amp;Anmeldung!$G$47&amp;" / "&amp;Anmeldung!$J$47,"")</f>
        <v/>
      </c>
      <c r="EA34" t="str">
        <f>IF(AND(40&lt;&gt;27,Anmeldung!$D$47&lt;&gt;"",Anmeldung!$G$47=Anmeldung!$G$34,Anmeldung!$J$47=Anmeldung!$J$34,(Anmeldung!$B$47&amp;": "&amp;Anmeldung!$D$47&amp;", "&amp;Anmeldung!$E$47&amp;" / "&amp;Anmeldung!$G$47&amp;" / "&amp;Anmeldung!$J$47)&lt;&gt;Anmeldung!$O$34),Anmeldung!$B$47&amp;": "&amp;Anmeldung!$D$47&amp;", "&amp;Anmeldung!$E$47&amp;" / "&amp;Anmeldung!$G$47&amp;" / "&amp;Anmeldung!$J$47,"")</f>
        <v/>
      </c>
      <c r="EB34" t="str">
        <f>IF(AND(40&lt;&gt;27,Anmeldung!$D$47&lt;&gt;"",Anmeldung!$G$47&lt;&gt;Anmeldung!$G$34,(Anmeldung!$B$47&amp;": "&amp;Anmeldung!$D$47&amp;", "&amp;Anmeldung!$E$47&amp;" / "&amp;Anmeldung!$G$47&amp;" / "&amp;Anmeldung!$J$47)&lt;&gt;Anmeldung!$S$34),Anmeldung!$B$47&amp;": "&amp;Anmeldung!$D$47&amp;", "&amp;Anmeldung!$E$47&amp;" / "&amp;Anmeldung!$G$47&amp;" / "&amp;Anmeldung!$J$47,"")</f>
        <v/>
      </c>
      <c r="EC34" t="str">
        <f>IF(AND(40&lt;&gt;27,Anmeldung!$D$47&lt;&gt;"",(Anmeldung!$B$47&amp;": "&amp;Anmeldung!$D$47&amp;", "&amp;Anmeldung!$E$47&amp;" / "&amp;Anmeldung!$G$47&amp;" / "&amp;Anmeldung!$J$47)&lt;&gt;Anmeldung!$R$34),Anmeldung!$B$47&amp;": "&amp;Anmeldung!$D$47&amp;", "&amp;Anmeldung!$E$47&amp;" / "&amp;Anmeldung!$G$47&amp;" / "&amp;Anmeldung!$J$47,"")</f>
        <v/>
      </c>
      <c r="ED34" t="str">
        <f>IF(AND(39&lt;&gt;26,Anmeldung!$D$47&lt;&gt;"",Anmeldung!$U$47="Ja",Anmeldung!$G$47=Anmeldung!$G$34,Anmeldung!$J$47=Anmeldung!$J$34),Anmeldung!$B$47&amp;": "&amp;Anmeldung!$D$47&amp;", "&amp;Anmeldung!$E$47&amp;" / "&amp;Anmeldung!$G$47&amp;" / "&amp;Anmeldung!$J$47,"")</f>
        <v/>
      </c>
      <c r="EG34" t="str">
        <f>IF(AND(40&lt;&gt;28,Anmeldung!$D$47&lt;&gt;"",Anmeldung!$G$47=Anmeldung!$G$35,Anmeldung!$J$47=Anmeldung!$J$35),Anmeldung!$B$47&amp;": "&amp;Anmeldung!$D$47&amp;", "&amp;Anmeldung!$E$47&amp;" / "&amp;Anmeldung!$G$47&amp;" / "&amp;Anmeldung!$J$47,"")</f>
        <v/>
      </c>
      <c r="EH34" t="str">
        <f>IF(AND(40&lt;&gt;28,Anmeldung!$D$47&lt;&gt;"",Anmeldung!$G$47=Anmeldung!$G$35,Anmeldung!$J$47=Anmeldung!$J$35,(Anmeldung!$B$47&amp;": "&amp;Anmeldung!$D$47&amp;", "&amp;Anmeldung!$E$47&amp;" / "&amp;Anmeldung!$G$47&amp;" / "&amp;Anmeldung!$J$47)&lt;&gt;Anmeldung!$P$35),Anmeldung!$B$47&amp;": "&amp;Anmeldung!$D$47&amp;", "&amp;Anmeldung!$E$47&amp;" / "&amp;Anmeldung!$G$47&amp;" / "&amp;Anmeldung!$J$47,"")</f>
        <v/>
      </c>
      <c r="EI34" t="str">
        <f>IF(AND(40&lt;&gt;28,Anmeldung!$D$47&lt;&gt;"",Anmeldung!$G$47=Anmeldung!$G$35,Anmeldung!$J$47=Anmeldung!$J$35,(Anmeldung!$B$47&amp;": "&amp;Anmeldung!$D$47&amp;", "&amp;Anmeldung!$E$47&amp;" / "&amp;Anmeldung!$G$47&amp;" / "&amp;Anmeldung!$J$47)&lt;&gt;Anmeldung!$O$35),Anmeldung!$B$47&amp;": "&amp;Anmeldung!$D$47&amp;", "&amp;Anmeldung!$E$47&amp;" / "&amp;Anmeldung!$G$47&amp;" / "&amp;Anmeldung!$J$47,"")</f>
        <v/>
      </c>
      <c r="EJ34" t="str">
        <f>IF(AND(40&lt;&gt;28,Anmeldung!$D$47&lt;&gt;"",Anmeldung!$G$47&lt;&gt;Anmeldung!$G$35,(Anmeldung!$B$47&amp;": "&amp;Anmeldung!$D$47&amp;", "&amp;Anmeldung!$E$47&amp;" / "&amp;Anmeldung!$G$47&amp;" / "&amp;Anmeldung!$J$47)&lt;&gt;Anmeldung!$S$35),Anmeldung!$B$47&amp;": "&amp;Anmeldung!$D$47&amp;", "&amp;Anmeldung!$E$47&amp;" / "&amp;Anmeldung!$G$47&amp;" / "&amp;Anmeldung!$J$47,"")</f>
        <v/>
      </c>
      <c r="EK34" t="str">
        <f>IF(AND(40&lt;&gt;28,Anmeldung!$D$47&lt;&gt;"",(Anmeldung!$B$47&amp;": "&amp;Anmeldung!$D$47&amp;", "&amp;Anmeldung!$E$47&amp;" / "&amp;Anmeldung!$G$47&amp;" / "&amp;Anmeldung!$J$47)&lt;&gt;Anmeldung!$R$35),Anmeldung!$B$47&amp;": "&amp;Anmeldung!$D$47&amp;", "&amp;Anmeldung!$E$47&amp;" / "&amp;Anmeldung!$G$47&amp;" / "&amp;Anmeldung!$J$47,"")</f>
        <v/>
      </c>
      <c r="EL34" t="str">
        <f>IF(AND(39&lt;&gt;27,Anmeldung!$D$47&lt;&gt;"",Anmeldung!$U$47="Ja",Anmeldung!$G$47=Anmeldung!$G$35,Anmeldung!$J$47=Anmeldung!$J$35),Anmeldung!$B$47&amp;": "&amp;Anmeldung!$D$47&amp;", "&amp;Anmeldung!$E$47&amp;" / "&amp;Anmeldung!$G$47&amp;" / "&amp;Anmeldung!$J$47,"")</f>
        <v/>
      </c>
      <c r="EO34" t="str">
        <f>IF(AND(40&lt;&gt;29,Anmeldung!$D$47&lt;&gt;"",Anmeldung!$G$47=Anmeldung!$G$36,Anmeldung!$J$47=Anmeldung!$J$36),Anmeldung!$B$47&amp;": "&amp;Anmeldung!$D$47&amp;", "&amp;Anmeldung!$E$47&amp;" / "&amp;Anmeldung!$G$47&amp;" / "&amp;Anmeldung!$J$47,"")</f>
        <v/>
      </c>
      <c r="EP34" t="str">
        <f>IF(AND(40&lt;&gt;29,Anmeldung!$D$47&lt;&gt;"",Anmeldung!$G$47=Anmeldung!$G$36,Anmeldung!$J$47=Anmeldung!$J$36,(Anmeldung!$B$47&amp;": "&amp;Anmeldung!$D$47&amp;", "&amp;Anmeldung!$E$47&amp;" / "&amp;Anmeldung!$G$47&amp;" / "&amp;Anmeldung!$J$47)&lt;&gt;Anmeldung!$P$36),Anmeldung!$B$47&amp;": "&amp;Anmeldung!$D$47&amp;", "&amp;Anmeldung!$E$47&amp;" / "&amp;Anmeldung!$G$47&amp;" / "&amp;Anmeldung!$J$47,"")</f>
        <v/>
      </c>
      <c r="EQ34" t="str">
        <f>IF(AND(40&lt;&gt;29,Anmeldung!$D$47&lt;&gt;"",Anmeldung!$G$47=Anmeldung!$G$36,Anmeldung!$J$47=Anmeldung!$J$36,(Anmeldung!$B$47&amp;": "&amp;Anmeldung!$D$47&amp;", "&amp;Anmeldung!$E$47&amp;" / "&amp;Anmeldung!$G$47&amp;" / "&amp;Anmeldung!$J$47)&lt;&gt;Anmeldung!$O$36),Anmeldung!$B$47&amp;": "&amp;Anmeldung!$D$47&amp;", "&amp;Anmeldung!$E$47&amp;" / "&amp;Anmeldung!$G$47&amp;" / "&amp;Anmeldung!$J$47,"")</f>
        <v/>
      </c>
      <c r="ER34" t="str">
        <f>IF(AND(40&lt;&gt;29,Anmeldung!$D$47&lt;&gt;"",Anmeldung!$G$47&lt;&gt;Anmeldung!$G$36,(Anmeldung!$B$47&amp;": "&amp;Anmeldung!$D$47&amp;", "&amp;Anmeldung!$E$47&amp;" / "&amp;Anmeldung!$G$47&amp;" / "&amp;Anmeldung!$J$47)&lt;&gt;Anmeldung!$S$36),Anmeldung!$B$47&amp;": "&amp;Anmeldung!$D$47&amp;", "&amp;Anmeldung!$E$47&amp;" / "&amp;Anmeldung!$G$47&amp;" / "&amp;Anmeldung!$J$47,"")</f>
        <v/>
      </c>
      <c r="ES34" t="str">
        <f>IF(AND(40&lt;&gt;29,Anmeldung!$D$47&lt;&gt;"",(Anmeldung!$B$47&amp;": "&amp;Anmeldung!$D$47&amp;", "&amp;Anmeldung!$E$47&amp;" / "&amp;Anmeldung!$G$47&amp;" / "&amp;Anmeldung!$J$47)&lt;&gt;Anmeldung!$R$36),Anmeldung!$B$47&amp;": "&amp;Anmeldung!$D$47&amp;", "&amp;Anmeldung!$E$47&amp;" / "&amp;Anmeldung!$G$47&amp;" / "&amp;Anmeldung!$J$47,"")</f>
        <v/>
      </c>
      <c r="ET34" t="str">
        <f>IF(AND(39&lt;&gt;28,Anmeldung!$D$47&lt;&gt;"",Anmeldung!$U$47="Ja",Anmeldung!$G$47=Anmeldung!$G$36,Anmeldung!$J$47=Anmeldung!$J$36),Anmeldung!$B$47&amp;": "&amp;Anmeldung!$D$47&amp;", "&amp;Anmeldung!$E$47&amp;" / "&amp;Anmeldung!$G$47&amp;" / "&amp;Anmeldung!$J$47,"")</f>
        <v/>
      </c>
      <c r="EW34" t="str">
        <f>IF(AND(40&lt;&gt;30,Anmeldung!$D$47&lt;&gt;"",Anmeldung!$G$47=Anmeldung!$G$37,Anmeldung!$J$47=Anmeldung!$J$37),Anmeldung!$B$47&amp;": "&amp;Anmeldung!$D$47&amp;", "&amp;Anmeldung!$E$47&amp;" / "&amp;Anmeldung!$G$47&amp;" / "&amp;Anmeldung!$J$47,"")</f>
        <v/>
      </c>
      <c r="EX34" t="str">
        <f>IF(AND(40&lt;&gt;30,Anmeldung!$D$47&lt;&gt;"",Anmeldung!$G$47=Anmeldung!$G$37,Anmeldung!$J$47=Anmeldung!$J$37,(Anmeldung!$B$47&amp;": "&amp;Anmeldung!$D$47&amp;", "&amp;Anmeldung!$E$47&amp;" / "&amp;Anmeldung!$G$47&amp;" / "&amp;Anmeldung!$J$47)&lt;&gt;Anmeldung!$P$37),Anmeldung!$B$47&amp;": "&amp;Anmeldung!$D$47&amp;", "&amp;Anmeldung!$E$47&amp;" / "&amp;Anmeldung!$G$47&amp;" / "&amp;Anmeldung!$J$47,"")</f>
        <v/>
      </c>
      <c r="EY34" t="str">
        <f>IF(AND(40&lt;&gt;30,Anmeldung!$D$47&lt;&gt;"",Anmeldung!$G$47=Anmeldung!$G$37,Anmeldung!$J$47=Anmeldung!$J$37,(Anmeldung!$B$47&amp;": "&amp;Anmeldung!$D$47&amp;", "&amp;Anmeldung!$E$47&amp;" / "&amp;Anmeldung!$G$47&amp;" / "&amp;Anmeldung!$J$47)&lt;&gt;Anmeldung!$O$37),Anmeldung!$B$47&amp;": "&amp;Anmeldung!$D$47&amp;", "&amp;Anmeldung!$E$47&amp;" / "&amp;Anmeldung!$G$47&amp;" / "&amp;Anmeldung!$J$47,"")</f>
        <v/>
      </c>
      <c r="EZ34" t="str">
        <f>IF(AND(40&lt;&gt;30,Anmeldung!$D$47&lt;&gt;"",Anmeldung!$G$47&lt;&gt;Anmeldung!$G$37,(Anmeldung!$B$47&amp;": "&amp;Anmeldung!$D$47&amp;", "&amp;Anmeldung!$E$47&amp;" / "&amp;Anmeldung!$G$47&amp;" / "&amp;Anmeldung!$J$47)&lt;&gt;Anmeldung!$S$37),Anmeldung!$B$47&amp;": "&amp;Anmeldung!$D$47&amp;", "&amp;Anmeldung!$E$47&amp;" / "&amp;Anmeldung!$G$47&amp;" / "&amp;Anmeldung!$J$47,"")</f>
        <v/>
      </c>
      <c r="FA34" t="str">
        <f>IF(AND(40&lt;&gt;30,Anmeldung!$D$47&lt;&gt;"",(Anmeldung!$B$47&amp;": "&amp;Anmeldung!$D$47&amp;", "&amp;Anmeldung!$E$47&amp;" / "&amp;Anmeldung!$G$47&amp;" / "&amp;Anmeldung!$J$47)&lt;&gt;Anmeldung!$R$37),Anmeldung!$B$47&amp;": "&amp;Anmeldung!$D$47&amp;", "&amp;Anmeldung!$E$47&amp;" / "&amp;Anmeldung!$G$47&amp;" / "&amp;Anmeldung!$J$47,"")</f>
        <v/>
      </c>
      <c r="FB34" t="str">
        <f>IF(AND(39&lt;&gt;29,Anmeldung!$D$47&lt;&gt;"",Anmeldung!$U$47="Ja",Anmeldung!$G$47=Anmeldung!$G$37,Anmeldung!$J$47=Anmeldung!$J$37),Anmeldung!$B$47&amp;": "&amp;Anmeldung!$D$47&amp;", "&amp;Anmeldung!$E$47&amp;" / "&amp;Anmeldung!$G$47&amp;" / "&amp;Anmeldung!$J$47,"")</f>
        <v/>
      </c>
      <c r="FE34" t="str">
        <f>IF(AND(40&lt;&gt;31,Anmeldung!$D$47&lt;&gt;"",Anmeldung!$G$47=Anmeldung!$G$38,Anmeldung!$J$47=Anmeldung!$J$38),Anmeldung!$B$47&amp;": "&amp;Anmeldung!$D$47&amp;", "&amp;Anmeldung!$E$47&amp;" / "&amp;Anmeldung!$G$47&amp;" / "&amp;Anmeldung!$J$47,"")</f>
        <v/>
      </c>
      <c r="FF34" t="str">
        <f>IF(AND(40&lt;&gt;31,Anmeldung!$D$47&lt;&gt;"",Anmeldung!$G$47=Anmeldung!$G$38,Anmeldung!$J$47=Anmeldung!$J$38,(Anmeldung!$B$47&amp;": "&amp;Anmeldung!$D$47&amp;", "&amp;Anmeldung!$E$47&amp;" / "&amp;Anmeldung!$G$47&amp;" / "&amp;Anmeldung!$J$47)&lt;&gt;Anmeldung!$P$38),Anmeldung!$B$47&amp;": "&amp;Anmeldung!$D$47&amp;", "&amp;Anmeldung!$E$47&amp;" / "&amp;Anmeldung!$G$47&amp;" / "&amp;Anmeldung!$J$47,"")</f>
        <v/>
      </c>
      <c r="FG34" t="str">
        <f>IF(AND(40&lt;&gt;31,Anmeldung!$D$47&lt;&gt;"",Anmeldung!$G$47=Anmeldung!$G$38,Anmeldung!$J$47=Anmeldung!$J$38,(Anmeldung!$B$47&amp;": "&amp;Anmeldung!$D$47&amp;", "&amp;Anmeldung!$E$47&amp;" / "&amp;Anmeldung!$G$47&amp;" / "&amp;Anmeldung!$J$47)&lt;&gt;Anmeldung!$O$38),Anmeldung!$B$47&amp;": "&amp;Anmeldung!$D$47&amp;", "&amp;Anmeldung!$E$47&amp;" / "&amp;Anmeldung!$G$47&amp;" / "&amp;Anmeldung!$J$47,"")</f>
        <v/>
      </c>
      <c r="FH34" t="str">
        <f>IF(AND(40&lt;&gt;31,Anmeldung!$D$47&lt;&gt;"",Anmeldung!$G$47&lt;&gt;Anmeldung!$G$38,(Anmeldung!$B$47&amp;": "&amp;Anmeldung!$D$47&amp;", "&amp;Anmeldung!$E$47&amp;" / "&amp;Anmeldung!$G$47&amp;" / "&amp;Anmeldung!$J$47)&lt;&gt;Anmeldung!$S$38),Anmeldung!$B$47&amp;": "&amp;Anmeldung!$D$47&amp;", "&amp;Anmeldung!$E$47&amp;" / "&amp;Anmeldung!$G$47&amp;" / "&amp;Anmeldung!$J$47,"")</f>
        <v/>
      </c>
      <c r="FI34" t="str">
        <f>IF(AND(40&lt;&gt;31,Anmeldung!$D$47&lt;&gt;"",(Anmeldung!$B$47&amp;": "&amp;Anmeldung!$D$47&amp;", "&amp;Anmeldung!$E$47&amp;" / "&amp;Anmeldung!$G$47&amp;" / "&amp;Anmeldung!$J$47)&lt;&gt;Anmeldung!$R$38),Anmeldung!$B$47&amp;": "&amp;Anmeldung!$D$47&amp;", "&amp;Anmeldung!$E$47&amp;" / "&amp;Anmeldung!$G$47&amp;" / "&amp;Anmeldung!$J$47,"")</f>
        <v/>
      </c>
      <c r="FJ34" t="str">
        <f>IF(AND(39&lt;&gt;30,Anmeldung!$D$47&lt;&gt;"",Anmeldung!$U$47="Ja",Anmeldung!$G$47=Anmeldung!$G$38,Anmeldung!$J$47=Anmeldung!$J$38),Anmeldung!$B$47&amp;": "&amp;Anmeldung!$D$47&amp;", "&amp;Anmeldung!$E$47&amp;" / "&amp;Anmeldung!$G$47&amp;" / "&amp;Anmeldung!$J$47,"")</f>
        <v/>
      </c>
      <c r="FM34" t="str">
        <f>IF(AND(40&lt;&gt;32,Anmeldung!$D$47&lt;&gt;"",Anmeldung!$G$47=Anmeldung!$G$39,Anmeldung!$J$47=Anmeldung!$J$39),Anmeldung!$B$47&amp;": "&amp;Anmeldung!$D$47&amp;", "&amp;Anmeldung!$E$47&amp;" / "&amp;Anmeldung!$G$47&amp;" / "&amp;Anmeldung!$J$47,"")</f>
        <v/>
      </c>
      <c r="FN34" t="str">
        <f>IF(AND(40&lt;&gt;32,Anmeldung!$D$47&lt;&gt;"",Anmeldung!$G$47=Anmeldung!$G$39,Anmeldung!$J$47=Anmeldung!$J$39,(Anmeldung!$B$47&amp;": "&amp;Anmeldung!$D$47&amp;", "&amp;Anmeldung!$E$47&amp;" / "&amp;Anmeldung!$G$47&amp;" / "&amp;Anmeldung!$J$47)&lt;&gt;Anmeldung!$P$39),Anmeldung!$B$47&amp;": "&amp;Anmeldung!$D$47&amp;", "&amp;Anmeldung!$E$47&amp;" / "&amp;Anmeldung!$G$47&amp;" / "&amp;Anmeldung!$J$47,"")</f>
        <v/>
      </c>
      <c r="FO34" t="str">
        <f>IF(AND(40&lt;&gt;32,Anmeldung!$D$47&lt;&gt;"",Anmeldung!$G$47=Anmeldung!$G$39,Anmeldung!$J$47=Anmeldung!$J$39,(Anmeldung!$B$47&amp;": "&amp;Anmeldung!$D$47&amp;", "&amp;Anmeldung!$E$47&amp;" / "&amp;Anmeldung!$G$47&amp;" / "&amp;Anmeldung!$J$47)&lt;&gt;Anmeldung!$O$39),Anmeldung!$B$47&amp;": "&amp;Anmeldung!$D$47&amp;", "&amp;Anmeldung!$E$47&amp;" / "&amp;Anmeldung!$G$47&amp;" / "&amp;Anmeldung!$J$47,"")</f>
        <v/>
      </c>
      <c r="FP34" t="str">
        <f>IF(AND(40&lt;&gt;32,Anmeldung!$D$47&lt;&gt;"",Anmeldung!$G$47&lt;&gt;Anmeldung!$G$39,(Anmeldung!$B$47&amp;": "&amp;Anmeldung!$D$47&amp;", "&amp;Anmeldung!$E$47&amp;" / "&amp;Anmeldung!$G$47&amp;" / "&amp;Anmeldung!$J$47)&lt;&gt;Anmeldung!$S$39),Anmeldung!$B$47&amp;": "&amp;Anmeldung!$D$47&amp;", "&amp;Anmeldung!$E$47&amp;" / "&amp;Anmeldung!$G$47&amp;" / "&amp;Anmeldung!$J$47,"")</f>
        <v/>
      </c>
      <c r="FQ34" t="str">
        <f>IF(AND(40&lt;&gt;32,Anmeldung!$D$47&lt;&gt;"",(Anmeldung!$B$47&amp;": "&amp;Anmeldung!$D$47&amp;", "&amp;Anmeldung!$E$47&amp;" / "&amp;Anmeldung!$G$47&amp;" / "&amp;Anmeldung!$J$47)&lt;&gt;Anmeldung!$R$39),Anmeldung!$B$47&amp;": "&amp;Anmeldung!$D$47&amp;", "&amp;Anmeldung!$E$47&amp;" / "&amp;Anmeldung!$G$47&amp;" / "&amp;Anmeldung!$J$47,"")</f>
        <v/>
      </c>
      <c r="FR34" t="str">
        <f>IF(AND(39&lt;&gt;31,Anmeldung!$D$47&lt;&gt;"",Anmeldung!$U$47="Ja",Anmeldung!$G$47=Anmeldung!$G$39,Anmeldung!$J$47=Anmeldung!$J$39),Anmeldung!$B$47&amp;": "&amp;Anmeldung!$D$47&amp;", "&amp;Anmeldung!$E$47&amp;" / "&amp;Anmeldung!$G$47&amp;" / "&amp;Anmeldung!$J$47,"")</f>
        <v/>
      </c>
      <c r="FU34" t="str">
        <f>IF(AND(40&lt;&gt;33,Anmeldung!$D$47&lt;&gt;"",Anmeldung!$G$47=Anmeldung!$G$40,Anmeldung!$J$47=Anmeldung!$J$40),Anmeldung!$B$47&amp;": "&amp;Anmeldung!$D$47&amp;", "&amp;Anmeldung!$E$47&amp;" / "&amp;Anmeldung!$G$47&amp;" / "&amp;Anmeldung!$J$47,"")</f>
        <v/>
      </c>
      <c r="FV34" t="str">
        <f>IF(AND(40&lt;&gt;33,Anmeldung!$D$47&lt;&gt;"",Anmeldung!$G$47=Anmeldung!$G$40,Anmeldung!$J$47=Anmeldung!$J$40,(Anmeldung!$B$47&amp;": "&amp;Anmeldung!$D$47&amp;", "&amp;Anmeldung!$E$47&amp;" / "&amp;Anmeldung!$G$47&amp;" / "&amp;Anmeldung!$J$47)&lt;&gt;Anmeldung!$P$40),Anmeldung!$B$47&amp;": "&amp;Anmeldung!$D$47&amp;", "&amp;Anmeldung!$E$47&amp;" / "&amp;Anmeldung!$G$47&amp;" / "&amp;Anmeldung!$J$47,"")</f>
        <v/>
      </c>
      <c r="FW34" t="str">
        <f>IF(AND(40&lt;&gt;33,Anmeldung!$D$47&lt;&gt;"",Anmeldung!$G$47=Anmeldung!$G$40,Anmeldung!$J$47=Anmeldung!$J$40,(Anmeldung!$B$47&amp;": "&amp;Anmeldung!$D$47&amp;", "&amp;Anmeldung!$E$47&amp;" / "&amp;Anmeldung!$G$47&amp;" / "&amp;Anmeldung!$J$47)&lt;&gt;Anmeldung!$O$40),Anmeldung!$B$47&amp;": "&amp;Anmeldung!$D$47&amp;", "&amp;Anmeldung!$E$47&amp;" / "&amp;Anmeldung!$G$47&amp;" / "&amp;Anmeldung!$J$47,"")</f>
        <v/>
      </c>
      <c r="FX34" t="str">
        <f>IF(AND(40&lt;&gt;33,Anmeldung!$D$47&lt;&gt;"",Anmeldung!$G$47&lt;&gt;Anmeldung!$G$40,(Anmeldung!$B$47&amp;": "&amp;Anmeldung!$D$47&amp;", "&amp;Anmeldung!$E$47&amp;" / "&amp;Anmeldung!$G$47&amp;" / "&amp;Anmeldung!$J$47)&lt;&gt;Anmeldung!$S$40),Anmeldung!$B$47&amp;": "&amp;Anmeldung!$D$47&amp;", "&amp;Anmeldung!$E$47&amp;" / "&amp;Anmeldung!$G$47&amp;" / "&amp;Anmeldung!$J$47,"")</f>
        <v/>
      </c>
      <c r="FY34" t="str">
        <f>IF(AND(40&lt;&gt;33,Anmeldung!$D$47&lt;&gt;"",(Anmeldung!$B$47&amp;": "&amp;Anmeldung!$D$47&amp;", "&amp;Anmeldung!$E$47&amp;" / "&amp;Anmeldung!$G$47&amp;" / "&amp;Anmeldung!$J$47)&lt;&gt;Anmeldung!$R$40),Anmeldung!$B$47&amp;": "&amp;Anmeldung!$D$47&amp;", "&amp;Anmeldung!$E$47&amp;" / "&amp;Anmeldung!$G$47&amp;" / "&amp;Anmeldung!$J$47,"")</f>
        <v/>
      </c>
      <c r="FZ34" t="str">
        <f>IF(AND(39&lt;&gt;32,Anmeldung!$D$47&lt;&gt;"",Anmeldung!$U$47="Ja",Anmeldung!$G$47=Anmeldung!$G$40,Anmeldung!$J$47=Anmeldung!$J$40),Anmeldung!$B$47&amp;": "&amp;Anmeldung!$D$47&amp;", "&amp;Anmeldung!$E$47&amp;" / "&amp;Anmeldung!$G$47&amp;" / "&amp;Anmeldung!$J$47,"")</f>
        <v/>
      </c>
      <c r="GC34" t="str">
        <f>IF(AND(40&lt;&gt;34,Anmeldung!$D$47&lt;&gt;"",Anmeldung!$G$47=Anmeldung!$G$41,Anmeldung!$J$47=Anmeldung!$J$41),Anmeldung!$B$47&amp;": "&amp;Anmeldung!$D$47&amp;", "&amp;Anmeldung!$E$47&amp;" / "&amp;Anmeldung!$G$47&amp;" / "&amp;Anmeldung!$J$47,"")</f>
        <v/>
      </c>
      <c r="GD34" t="str">
        <f>IF(AND(40&lt;&gt;34,Anmeldung!$D$47&lt;&gt;"",Anmeldung!$G$47=Anmeldung!$G$41,Anmeldung!$J$47=Anmeldung!$J$41,(Anmeldung!$B$47&amp;": "&amp;Anmeldung!$D$47&amp;", "&amp;Anmeldung!$E$47&amp;" / "&amp;Anmeldung!$G$47&amp;" / "&amp;Anmeldung!$J$47)&lt;&gt;Anmeldung!$P$41),Anmeldung!$B$47&amp;": "&amp;Anmeldung!$D$47&amp;", "&amp;Anmeldung!$E$47&amp;" / "&amp;Anmeldung!$G$47&amp;" / "&amp;Anmeldung!$J$47,"")</f>
        <v/>
      </c>
      <c r="GE34" t="str">
        <f>IF(AND(40&lt;&gt;34,Anmeldung!$D$47&lt;&gt;"",Anmeldung!$G$47=Anmeldung!$G$41,Anmeldung!$J$47=Anmeldung!$J$41,(Anmeldung!$B$47&amp;": "&amp;Anmeldung!$D$47&amp;", "&amp;Anmeldung!$E$47&amp;" / "&amp;Anmeldung!$G$47&amp;" / "&amp;Anmeldung!$J$47)&lt;&gt;Anmeldung!$O$41),Anmeldung!$B$47&amp;": "&amp;Anmeldung!$D$47&amp;", "&amp;Anmeldung!$E$47&amp;" / "&amp;Anmeldung!$G$47&amp;" / "&amp;Anmeldung!$J$47,"")</f>
        <v/>
      </c>
      <c r="GF34" t="str">
        <f>IF(AND(40&lt;&gt;34,Anmeldung!$D$47&lt;&gt;"",Anmeldung!$G$47&lt;&gt;Anmeldung!$G$41,(Anmeldung!$B$47&amp;": "&amp;Anmeldung!$D$47&amp;", "&amp;Anmeldung!$E$47&amp;" / "&amp;Anmeldung!$G$47&amp;" / "&amp;Anmeldung!$J$47)&lt;&gt;Anmeldung!$S$41),Anmeldung!$B$47&amp;": "&amp;Anmeldung!$D$47&amp;", "&amp;Anmeldung!$E$47&amp;" / "&amp;Anmeldung!$G$47&amp;" / "&amp;Anmeldung!$J$47,"")</f>
        <v/>
      </c>
      <c r="GG34" t="str">
        <f>IF(AND(40&lt;&gt;34,Anmeldung!$D$47&lt;&gt;"",(Anmeldung!$B$47&amp;": "&amp;Anmeldung!$D$47&amp;", "&amp;Anmeldung!$E$47&amp;" / "&amp;Anmeldung!$G$47&amp;" / "&amp;Anmeldung!$J$47)&lt;&gt;Anmeldung!$R$41),Anmeldung!$B$47&amp;": "&amp;Anmeldung!$D$47&amp;", "&amp;Anmeldung!$E$47&amp;" / "&amp;Anmeldung!$G$47&amp;" / "&amp;Anmeldung!$J$47,"")</f>
        <v/>
      </c>
      <c r="GH34" t="str">
        <f>IF(AND(39&lt;&gt;33,Anmeldung!$D$47&lt;&gt;"",Anmeldung!$U$47="Ja",Anmeldung!$G$47=Anmeldung!$G$41,Anmeldung!$J$47=Anmeldung!$J$41),Anmeldung!$B$47&amp;": "&amp;Anmeldung!$D$47&amp;", "&amp;Anmeldung!$E$47&amp;" / "&amp;Anmeldung!$G$47&amp;" / "&amp;Anmeldung!$J$47,"")</f>
        <v/>
      </c>
      <c r="GK34" t="str">
        <f>IF(AND(40&lt;&gt;35,Anmeldung!$D$47&lt;&gt;"",Anmeldung!$G$47=Anmeldung!$G$42,Anmeldung!$J$47=Anmeldung!$J$42),Anmeldung!$B$47&amp;": "&amp;Anmeldung!$D$47&amp;", "&amp;Anmeldung!$E$47&amp;" / "&amp;Anmeldung!$G$47&amp;" / "&amp;Anmeldung!$J$47,"")</f>
        <v/>
      </c>
      <c r="GL34" t="str">
        <f>IF(AND(40&lt;&gt;35,Anmeldung!$D$47&lt;&gt;"",Anmeldung!$G$47=Anmeldung!$G$42,Anmeldung!$J$47=Anmeldung!$J$42,(Anmeldung!$B$47&amp;": "&amp;Anmeldung!$D$47&amp;", "&amp;Anmeldung!$E$47&amp;" / "&amp;Anmeldung!$G$47&amp;" / "&amp;Anmeldung!$J$47)&lt;&gt;Anmeldung!$P$42),Anmeldung!$B$47&amp;": "&amp;Anmeldung!$D$47&amp;", "&amp;Anmeldung!$E$47&amp;" / "&amp;Anmeldung!$G$47&amp;" / "&amp;Anmeldung!$J$47,"")</f>
        <v/>
      </c>
      <c r="GM34" t="str">
        <f>IF(AND(40&lt;&gt;35,Anmeldung!$D$47&lt;&gt;"",Anmeldung!$G$47=Anmeldung!$G$42,Anmeldung!$J$47=Anmeldung!$J$42,(Anmeldung!$B$47&amp;": "&amp;Anmeldung!$D$47&amp;", "&amp;Anmeldung!$E$47&amp;" / "&amp;Anmeldung!$G$47&amp;" / "&amp;Anmeldung!$J$47)&lt;&gt;Anmeldung!$O$42),Anmeldung!$B$47&amp;": "&amp;Anmeldung!$D$47&amp;", "&amp;Anmeldung!$E$47&amp;" / "&amp;Anmeldung!$G$47&amp;" / "&amp;Anmeldung!$J$47,"")</f>
        <v/>
      </c>
      <c r="GN34" t="str">
        <f>IF(AND(40&lt;&gt;35,Anmeldung!$D$47&lt;&gt;"",Anmeldung!$G$47&lt;&gt;Anmeldung!$G$42,(Anmeldung!$B$47&amp;": "&amp;Anmeldung!$D$47&amp;", "&amp;Anmeldung!$E$47&amp;" / "&amp;Anmeldung!$G$47&amp;" / "&amp;Anmeldung!$J$47)&lt;&gt;Anmeldung!$S$42),Anmeldung!$B$47&amp;": "&amp;Anmeldung!$D$47&amp;", "&amp;Anmeldung!$E$47&amp;" / "&amp;Anmeldung!$G$47&amp;" / "&amp;Anmeldung!$J$47,"")</f>
        <v/>
      </c>
      <c r="GO34" t="str">
        <f>IF(AND(40&lt;&gt;35,Anmeldung!$D$47&lt;&gt;"",(Anmeldung!$B$47&amp;": "&amp;Anmeldung!$D$47&amp;", "&amp;Anmeldung!$E$47&amp;" / "&amp;Anmeldung!$G$47&amp;" / "&amp;Anmeldung!$J$47)&lt;&gt;Anmeldung!$R$42),Anmeldung!$B$47&amp;": "&amp;Anmeldung!$D$47&amp;", "&amp;Anmeldung!$E$47&amp;" / "&amp;Anmeldung!$G$47&amp;" / "&amp;Anmeldung!$J$47,"")</f>
        <v/>
      </c>
      <c r="GP34" t="str">
        <f>IF(AND(39&lt;&gt;34,Anmeldung!$D$47&lt;&gt;"",Anmeldung!$U$47="Ja",Anmeldung!$G$47=Anmeldung!$G$42,Anmeldung!$J$47=Anmeldung!$J$42),Anmeldung!$B$47&amp;": "&amp;Anmeldung!$D$47&amp;", "&amp;Anmeldung!$E$47&amp;" / "&amp;Anmeldung!$G$47&amp;" / "&amp;Anmeldung!$J$47,"")</f>
        <v/>
      </c>
      <c r="GS34" t="str">
        <f>IF(AND(40&lt;&gt;36,Anmeldung!$D$47&lt;&gt;"",Anmeldung!$G$47=Anmeldung!$G$43,Anmeldung!$J$47=Anmeldung!$J$43),Anmeldung!$B$47&amp;": "&amp;Anmeldung!$D$47&amp;", "&amp;Anmeldung!$E$47&amp;" / "&amp;Anmeldung!$G$47&amp;" / "&amp;Anmeldung!$J$47,"")</f>
        <v/>
      </c>
      <c r="GT34" t="str">
        <f>IF(AND(40&lt;&gt;36,Anmeldung!$D$47&lt;&gt;"",Anmeldung!$G$47=Anmeldung!$G$43,Anmeldung!$J$47=Anmeldung!$J$43,(Anmeldung!$B$47&amp;": "&amp;Anmeldung!$D$47&amp;", "&amp;Anmeldung!$E$47&amp;" / "&amp;Anmeldung!$G$47&amp;" / "&amp;Anmeldung!$J$47)&lt;&gt;Anmeldung!$P$43),Anmeldung!$B$47&amp;": "&amp;Anmeldung!$D$47&amp;", "&amp;Anmeldung!$E$47&amp;" / "&amp;Anmeldung!$G$47&amp;" / "&amp;Anmeldung!$J$47,"")</f>
        <v/>
      </c>
      <c r="GU34" t="str">
        <f>IF(AND(40&lt;&gt;36,Anmeldung!$D$47&lt;&gt;"",Anmeldung!$G$47=Anmeldung!$G$43,Anmeldung!$J$47=Anmeldung!$J$43,(Anmeldung!$B$47&amp;": "&amp;Anmeldung!$D$47&amp;", "&amp;Anmeldung!$E$47&amp;" / "&amp;Anmeldung!$G$47&amp;" / "&amp;Anmeldung!$J$47)&lt;&gt;Anmeldung!$O$43),Anmeldung!$B$47&amp;": "&amp;Anmeldung!$D$47&amp;", "&amp;Anmeldung!$E$47&amp;" / "&amp;Anmeldung!$G$47&amp;" / "&amp;Anmeldung!$J$47,"")</f>
        <v/>
      </c>
      <c r="GV34" t="str">
        <f>IF(AND(40&lt;&gt;36,Anmeldung!$D$47&lt;&gt;"",Anmeldung!$G$47&lt;&gt;Anmeldung!$G$43,(Anmeldung!$B$47&amp;": "&amp;Anmeldung!$D$47&amp;", "&amp;Anmeldung!$E$47&amp;" / "&amp;Anmeldung!$G$47&amp;" / "&amp;Anmeldung!$J$47)&lt;&gt;Anmeldung!$S$43),Anmeldung!$B$47&amp;": "&amp;Anmeldung!$D$47&amp;", "&amp;Anmeldung!$E$47&amp;" / "&amp;Anmeldung!$G$47&amp;" / "&amp;Anmeldung!$J$47,"")</f>
        <v/>
      </c>
      <c r="GW34" t="str">
        <f>IF(AND(40&lt;&gt;36,Anmeldung!$D$47&lt;&gt;"",(Anmeldung!$B$47&amp;": "&amp;Anmeldung!$D$47&amp;", "&amp;Anmeldung!$E$47&amp;" / "&amp;Anmeldung!$G$47&amp;" / "&amp;Anmeldung!$J$47)&lt;&gt;Anmeldung!$R$43),Anmeldung!$B$47&amp;": "&amp;Anmeldung!$D$47&amp;", "&amp;Anmeldung!$E$47&amp;" / "&amp;Anmeldung!$G$47&amp;" / "&amp;Anmeldung!$J$47,"")</f>
        <v/>
      </c>
      <c r="GX34" t="str">
        <f>IF(AND(39&lt;&gt;35,Anmeldung!$D$47&lt;&gt;"",Anmeldung!$U$47="Ja",Anmeldung!$G$47=Anmeldung!$G$43,Anmeldung!$J$47=Anmeldung!$J$43),Anmeldung!$B$47&amp;": "&amp;Anmeldung!$D$47&amp;", "&amp;Anmeldung!$E$47&amp;" / "&amp;Anmeldung!$G$47&amp;" / "&amp;Anmeldung!$J$47,"")</f>
        <v/>
      </c>
      <c r="HA34" t="str">
        <f>IF(AND(40&lt;&gt;37,Anmeldung!$D$47&lt;&gt;"",Anmeldung!$G$47=Anmeldung!$G$44,Anmeldung!$J$47=Anmeldung!$J$44),Anmeldung!$B$47&amp;": "&amp;Anmeldung!$D$47&amp;", "&amp;Anmeldung!$E$47&amp;" / "&amp;Anmeldung!$G$47&amp;" / "&amp;Anmeldung!$J$47,"")</f>
        <v/>
      </c>
      <c r="HB34" t="str">
        <f>IF(AND(40&lt;&gt;37,Anmeldung!$D$47&lt;&gt;"",Anmeldung!$G$47=Anmeldung!$G$44,Anmeldung!$J$47=Anmeldung!$J$44,(Anmeldung!$B$47&amp;": "&amp;Anmeldung!$D$47&amp;", "&amp;Anmeldung!$E$47&amp;" / "&amp;Anmeldung!$G$47&amp;" / "&amp;Anmeldung!$J$47)&lt;&gt;Anmeldung!$P$44),Anmeldung!$B$47&amp;": "&amp;Anmeldung!$D$47&amp;", "&amp;Anmeldung!$E$47&amp;" / "&amp;Anmeldung!$G$47&amp;" / "&amp;Anmeldung!$J$47,"")</f>
        <v/>
      </c>
      <c r="HC34" t="str">
        <f>IF(AND(40&lt;&gt;37,Anmeldung!$D$47&lt;&gt;"",Anmeldung!$G$47=Anmeldung!$G$44,Anmeldung!$J$47=Anmeldung!$J$44,(Anmeldung!$B$47&amp;": "&amp;Anmeldung!$D$47&amp;", "&amp;Anmeldung!$E$47&amp;" / "&amp;Anmeldung!$G$47&amp;" / "&amp;Anmeldung!$J$47)&lt;&gt;Anmeldung!$O$44),Anmeldung!$B$47&amp;": "&amp;Anmeldung!$D$47&amp;", "&amp;Anmeldung!$E$47&amp;" / "&amp;Anmeldung!$G$47&amp;" / "&amp;Anmeldung!$J$47,"")</f>
        <v/>
      </c>
      <c r="HD34" t="str">
        <f>IF(AND(40&lt;&gt;37,Anmeldung!$D$47&lt;&gt;"",Anmeldung!$G$47&lt;&gt;Anmeldung!$G$44,(Anmeldung!$B$47&amp;": "&amp;Anmeldung!$D$47&amp;", "&amp;Anmeldung!$E$47&amp;" / "&amp;Anmeldung!$G$47&amp;" / "&amp;Anmeldung!$J$47)&lt;&gt;Anmeldung!$S$44),Anmeldung!$B$47&amp;": "&amp;Anmeldung!$D$47&amp;", "&amp;Anmeldung!$E$47&amp;" / "&amp;Anmeldung!$G$47&amp;" / "&amp;Anmeldung!$J$47,"")</f>
        <v/>
      </c>
      <c r="HE34" t="str">
        <f>IF(AND(40&lt;&gt;37,Anmeldung!$D$47&lt;&gt;"",(Anmeldung!$B$47&amp;": "&amp;Anmeldung!$D$47&amp;", "&amp;Anmeldung!$E$47&amp;" / "&amp;Anmeldung!$G$47&amp;" / "&amp;Anmeldung!$J$47)&lt;&gt;Anmeldung!$R$44),Anmeldung!$B$47&amp;": "&amp;Anmeldung!$D$47&amp;", "&amp;Anmeldung!$E$47&amp;" / "&amp;Anmeldung!$G$47&amp;" / "&amp;Anmeldung!$J$47,"")</f>
        <v/>
      </c>
      <c r="HF34" t="str">
        <f>IF(AND(39&lt;&gt;36,Anmeldung!$D$47&lt;&gt;"",Anmeldung!$U$47="Ja",Anmeldung!$G$47=Anmeldung!$G$44,Anmeldung!$J$47=Anmeldung!$J$44),Anmeldung!$B$47&amp;": "&amp;Anmeldung!$D$47&amp;", "&amp;Anmeldung!$E$47&amp;" / "&amp;Anmeldung!$G$47&amp;" / "&amp;Anmeldung!$J$47,"")</f>
        <v/>
      </c>
      <c r="HI34" t="str">
        <f>IF(AND(40&lt;&gt;38,Anmeldung!$D$47&lt;&gt;"",Anmeldung!$G$47=Anmeldung!$G$45,Anmeldung!$J$47=Anmeldung!$J$45),Anmeldung!$B$47&amp;": "&amp;Anmeldung!$D$47&amp;", "&amp;Anmeldung!$E$47&amp;" / "&amp;Anmeldung!$G$47&amp;" / "&amp;Anmeldung!$J$47,"")</f>
        <v/>
      </c>
      <c r="HJ34" t="str">
        <f>IF(AND(40&lt;&gt;38,Anmeldung!$D$47&lt;&gt;"",Anmeldung!$G$47=Anmeldung!$G$45,Anmeldung!$J$47=Anmeldung!$J$45,(Anmeldung!$B$47&amp;": "&amp;Anmeldung!$D$47&amp;", "&amp;Anmeldung!$E$47&amp;" / "&amp;Anmeldung!$G$47&amp;" / "&amp;Anmeldung!$J$47)&lt;&gt;Anmeldung!$P$45),Anmeldung!$B$47&amp;": "&amp;Anmeldung!$D$47&amp;", "&amp;Anmeldung!$E$47&amp;" / "&amp;Anmeldung!$G$47&amp;" / "&amp;Anmeldung!$J$47,"")</f>
        <v/>
      </c>
      <c r="HK34" t="str">
        <f>IF(AND(40&lt;&gt;38,Anmeldung!$D$47&lt;&gt;"",Anmeldung!$G$47=Anmeldung!$G$45,Anmeldung!$J$47=Anmeldung!$J$45,(Anmeldung!$B$47&amp;": "&amp;Anmeldung!$D$47&amp;", "&amp;Anmeldung!$E$47&amp;" / "&amp;Anmeldung!$G$47&amp;" / "&amp;Anmeldung!$J$47)&lt;&gt;Anmeldung!$O$45),Anmeldung!$B$47&amp;": "&amp;Anmeldung!$D$47&amp;", "&amp;Anmeldung!$E$47&amp;" / "&amp;Anmeldung!$G$47&amp;" / "&amp;Anmeldung!$J$47,"")</f>
        <v/>
      </c>
      <c r="HL34" t="str">
        <f>IF(AND(40&lt;&gt;38,Anmeldung!$D$47&lt;&gt;"",Anmeldung!$G$47&lt;&gt;Anmeldung!$G$45,(Anmeldung!$B$47&amp;": "&amp;Anmeldung!$D$47&amp;", "&amp;Anmeldung!$E$47&amp;" / "&amp;Anmeldung!$G$47&amp;" / "&amp;Anmeldung!$J$47)&lt;&gt;Anmeldung!$S$45),Anmeldung!$B$47&amp;": "&amp;Anmeldung!$D$47&amp;", "&amp;Anmeldung!$E$47&amp;" / "&amp;Anmeldung!$G$47&amp;" / "&amp;Anmeldung!$J$47,"")</f>
        <v/>
      </c>
      <c r="HM34" t="str">
        <f>IF(AND(40&lt;&gt;38,Anmeldung!$D$47&lt;&gt;"",(Anmeldung!$B$47&amp;": "&amp;Anmeldung!$D$47&amp;", "&amp;Anmeldung!$E$47&amp;" / "&amp;Anmeldung!$G$47&amp;" / "&amp;Anmeldung!$J$47)&lt;&gt;Anmeldung!$R$45),Anmeldung!$B$47&amp;": "&amp;Anmeldung!$D$47&amp;", "&amp;Anmeldung!$E$47&amp;" / "&amp;Anmeldung!$G$47&amp;" / "&amp;Anmeldung!$J$47,"")</f>
        <v/>
      </c>
      <c r="HN34" t="str">
        <f>IF(AND(39&lt;&gt;37,Anmeldung!$D$47&lt;&gt;"",Anmeldung!$U$47="Ja",Anmeldung!$G$47=Anmeldung!$G$45,Anmeldung!$J$47=Anmeldung!$J$45),Anmeldung!$B$47&amp;": "&amp;Anmeldung!$D$47&amp;", "&amp;Anmeldung!$E$47&amp;" / "&amp;Anmeldung!$G$47&amp;" / "&amp;Anmeldung!$J$47,"")</f>
        <v/>
      </c>
      <c r="HQ34" t="str">
        <f>IF(AND(40&lt;&gt;39,Anmeldung!$D$47&lt;&gt;"",Anmeldung!$G$47=Anmeldung!$G$46,Anmeldung!$J$47=Anmeldung!$J$46),Anmeldung!$B$47&amp;": "&amp;Anmeldung!$D$47&amp;", "&amp;Anmeldung!$E$47&amp;" / "&amp;Anmeldung!$G$47&amp;" / "&amp;Anmeldung!$J$47,"")</f>
        <v/>
      </c>
      <c r="HR34" t="str">
        <f>IF(AND(40&lt;&gt;39,Anmeldung!$D$47&lt;&gt;"",Anmeldung!$G$47=Anmeldung!$G$46,Anmeldung!$J$47=Anmeldung!$J$46,(Anmeldung!$B$47&amp;": "&amp;Anmeldung!$D$47&amp;", "&amp;Anmeldung!$E$47&amp;" / "&amp;Anmeldung!$G$47&amp;" / "&amp;Anmeldung!$J$47)&lt;&gt;Anmeldung!$P$46),Anmeldung!$B$47&amp;": "&amp;Anmeldung!$D$47&amp;", "&amp;Anmeldung!$E$47&amp;" / "&amp;Anmeldung!$G$47&amp;" / "&amp;Anmeldung!$J$47,"")</f>
        <v/>
      </c>
      <c r="HS34" t="str">
        <f>IF(AND(40&lt;&gt;39,Anmeldung!$D$47&lt;&gt;"",Anmeldung!$G$47=Anmeldung!$G$46,Anmeldung!$J$47=Anmeldung!$J$46,(Anmeldung!$B$47&amp;": "&amp;Anmeldung!$D$47&amp;", "&amp;Anmeldung!$E$47&amp;" / "&amp;Anmeldung!$G$47&amp;" / "&amp;Anmeldung!$J$47)&lt;&gt;Anmeldung!$O$46),Anmeldung!$B$47&amp;": "&amp;Anmeldung!$D$47&amp;", "&amp;Anmeldung!$E$47&amp;" / "&amp;Anmeldung!$G$47&amp;" / "&amp;Anmeldung!$J$47,"")</f>
        <v/>
      </c>
      <c r="HT34" t="str">
        <f>IF(AND(40&lt;&gt;39,Anmeldung!$D$47&lt;&gt;"",Anmeldung!$G$47&lt;&gt;Anmeldung!$G$46,(Anmeldung!$B$47&amp;": "&amp;Anmeldung!$D$47&amp;", "&amp;Anmeldung!$E$47&amp;" / "&amp;Anmeldung!$G$47&amp;" / "&amp;Anmeldung!$J$47)&lt;&gt;Anmeldung!$S$46),Anmeldung!$B$47&amp;": "&amp;Anmeldung!$D$47&amp;", "&amp;Anmeldung!$E$47&amp;" / "&amp;Anmeldung!$G$47&amp;" / "&amp;Anmeldung!$J$47,"")</f>
        <v/>
      </c>
      <c r="HU34" t="str">
        <f>IF(AND(40&lt;&gt;39,Anmeldung!$D$47&lt;&gt;"",(Anmeldung!$B$47&amp;": "&amp;Anmeldung!$D$47&amp;", "&amp;Anmeldung!$E$47&amp;" / "&amp;Anmeldung!$G$47&amp;" / "&amp;Anmeldung!$J$47)&lt;&gt;Anmeldung!$R$46),Anmeldung!$B$47&amp;": "&amp;Anmeldung!$D$47&amp;", "&amp;Anmeldung!$E$47&amp;" / "&amp;Anmeldung!$G$47&amp;" / "&amp;Anmeldung!$J$47,"")</f>
        <v/>
      </c>
      <c r="HV34" t="str">
        <f>IF(AND(39&lt;&gt;38,Anmeldung!$D$47&lt;&gt;"",Anmeldung!$U$47="Ja",Anmeldung!$G$47=Anmeldung!$G$46,Anmeldung!$J$47=Anmeldung!$J$46),Anmeldung!$B$47&amp;": "&amp;Anmeldung!$D$47&amp;", "&amp;Anmeldung!$E$47&amp;" / "&amp;Anmeldung!$G$47&amp;" / "&amp;Anmeldung!$J$47,"")</f>
        <v/>
      </c>
      <c r="HY34" t="str">
        <f>IF(AND(40&lt;&gt;40,Anmeldung!$D$47&lt;&gt;"",Anmeldung!$G$47=Anmeldung!$G$47,Anmeldung!$J$47=Anmeldung!$J$47),Anmeldung!$B$47&amp;": "&amp;Anmeldung!$D$47&amp;", "&amp;Anmeldung!$E$47&amp;" / "&amp;Anmeldung!$G$47&amp;" / "&amp;Anmeldung!$J$47,"")</f>
        <v/>
      </c>
      <c r="HZ34" t="str">
        <f>IF(AND(40&lt;&gt;40,Anmeldung!$D$47&lt;&gt;"",Anmeldung!$G$47=Anmeldung!$G$47,Anmeldung!$J$47=Anmeldung!$J$47,(Anmeldung!$B$47&amp;": "&amp;Anmeldung!$D$47&amp;", "&amp;Anmeldung!$E$47&amp;" / "&amp;Anmeldung!$G$47&amp;" / "&amp;Anmeldung!$J$47)&lt;&gt;Anmeldung!$P$47),Anmeldung!$B$47&amp;": "&amp;Anmeldung!$D$47&amp;", "&amp;Anmeldung!$E$47&amp;" / "&amp;Anmeldung!$G$47&amp;" / "&amp;Anmeldung!$J$47,"")</f>
        <v/>
      </c>
      <c r="IA34" t="str">
        <f>IF(AND(40&lt;&gt;40,Anmeldung!$D$47&lt;&gt;"",Anmeldung!$G$47=Anmeldung!$G$47,Anmeldung!$J$47=Anmeldung!$J$47,(Anmeldung!$B$47&amp;": "&amp;Anmeldung!$D$47&amp;", "&amp;Anmeldung!$E$47&amp;" / "&amp;Anmeldung!$G$47&amp;" / "&amp;Anmeldung!$J$47)&lt;&gt;Anmeldung!$O$47),Anmeldung!$B$47&amp;": "&amp;Anmeldung!$D$47&amp;", "&amp;Anmeldung!$E$47&amp;" / "&amp;Anmeldung!$G$47&amp;" / "&amp;Anmeldung!$J$47,"")</f>
        <v/>
      </c>
      <c r="IB34" t="str">
        <f>IF(AND(40&lt;&gt;40,Anmeldung!$D$47&lt;&gt;"",Anmeldung!$G$47&lt;&gt;Anmeldung!$G$47,(Anmeldung!$B$47&amp;": "&amp;Anmeldung!$D$47&amp;", "&amp;Anmeldung!$E$47&amp;" / "&amp;Anmeldung!$G$47&amp;" / "&amp;Anmeldung!$J$47)&lt;&gt;Anmeldung!$S$47),Anmeldung!$B$47&amp;": "&amp;Anmeldung!$D$47&amp;", "&amp;Anmeldung!$E$47&amp;" / "&amp;Anmeldung!$G$47&amp;" / "&amp;Anmeldung!$J$47,"")</f>
        <v/>
      </c>
      <c r="IC34" t="str">
        <f>IF(AND(40&lt;&gt;40,Anmeldung!$D$47&lt;&gt;"",(Anmeldung!$B$47&amp;": "&amp;Anmeldung!$D$47&amp;", "&amp;Anmeldung!$E$47&amp;" / "&amp;Anmeldung!$G$47&amp;" / "&amp;Anmeldung!$J$47)&lt;&gt;Anmeldung!$R$47),Anmeldung!$B$47&amp;": "&amp;Anmeldung!$D$47&amp;", "&amp;Anmeldung!$E$47&amp;" / "&amp;Anmeldung!$G$47&amp;" / "&amp;Anmeldung!$J$47,"")</f>
        <v/>
      </c>
      <c r="ID34" t="str">
        <f>IF(AND(39&lt;&gt;39,Anmeldung!$D$47&lt;&gt;"",Anmeldung!$U$47="Ja",Anmeldung!$G$47=Anmeldung!$G$47,Anmeldung!$J$47=Anmeldung!$J$47),Anmeldung!$B$47&amp;": "&amp;Anmeldung!$D$47&amp;", "&amp;Anmeldung!$E$47&amp;" / "&amp;Anmeldung!$G$47&amp;" / "&amp;Anmeldung!$J$47,"")</f>
        <v/>
      </c>
    </row>
    <row r="35" spans="1:238" ht="14.25" customHeight="1" x14ac:dyDescent="0.3"/>
    <row r="36" spans="1:238" ht="14.25" customHeight="1" x14ac:dyDescent="0.3"/>
    <row r="37" spans="1:238" ht="14.25" customHeight="1" x14ac:dyDescent="0.3"/>
    <row r="38" spans="1:238" ht="14.25" customHeight="1" x14ac:dyDescent="0.3"/>
    <row r="39" spans="1:238" ht="14.25" customHeight="1" x14ac:dyDescent="0.3"/>
    <row r="40" spans="1:238" ht="14.25" customHeight="1" x14ac:dyDescent="0.3"/>
    <row r="41" spans="1:238" ht="14.25" customHeight="1" x14ac:dyDescent="0.3"/>
    <row r="42" spans="1:238" ht="14.25" customHeight="1" x14ac:dyDescent="0.3"/>
    <row r="43" spans="1:238" ht="14.25" customHeight="1" x14ac:dyDescent="0.3"/>
    <row r="44" spans="1:238" ht="14.25" customHeight="1" x14ac:dyDescent="0.3"/>
    <row r="45" spans="1:238" ht="14.25" customHeight="1" x14ac:dyDescent="0.3"/>
    <row r="46" spans="1:238" ht="14.25" customHeight="1" x14ac:dyDescent="0.3"/>
    <row r="47" spans="1:238" ht="14.25" customHeight="1" x14ac:dyDescent="0.3"/>
    <row r="48" spans="1:23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</sheetData>
  <sheetProtection algorithmName="SHA-512" hashValue="HBI77Awb+S/NpjUHt4J8xyb/Q4t4zuYL9u3hqT0JVRytS2QuEuGzurHsOMCgDh4C4NdPrB6/Mnhox9skSGK/5Q==" saltValue="vHrxNWvK7nDmqIvCwjR7mQ==" spinCount="100000" sheet="1" objects="1" scenarios="1"/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1"/>
  <sheetViews>
    <sheetView workbookViewId="0">
      <selection activeCell="D23" sqref="D23"/>
    </sheetView>
  </sheetViews>
  <sheetFormatPr baseColWidth="10" defaultColWidth="14.44140625" defaultRowHeight="15" customHeight="1" x14ac:dyDescent="0.3"/>
  <cols>
    <col min="1" max="11" width="10.6640625" customWidth="1"/>
  </cols>
  <sheetData>
    <row r="1" spans="1:10" ht="14.25" customHeight="1" x14ac:dyDescent="0.3">
      <c r="A1" s="1" t="s">
        <v>37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35</v>
      </c>
      <c r="I1" s="1" t="s">
        <v>267</v>
      </c>
      <c r="J1" s="1" t="s">
        <v>268</v>
      </c>
    </row>
    <row r="2" spans="1:10" ht="14.25" customHeight="1" x14ac:dyDescent="0.3">
      <c r="A2" s="1" t="str">
        <f>IF(AND(Anmeldung!$D18&lt;&gt;"",Anmeldung!$K18="Ja"),"Poomsae Einzel","")</f>
        <v/>
      </c>
      <c r="B2" s="1" t="str">
        <f>IF($A2="","",Anmeldung!$G18&amp;" / "&amp;Anmeldung!$J18)</f>
        <v/>
      </c>
      <c r="C2" s="1" t="str">
        <f t="shared" ref="C2:C211" si="0">IF($A2="","",COUNTIF($A$2:A2,"&lt;&gt;"))</f>
        <v/>
      </c>
      <c r="D2" s="1" t="str">
        <f>IF($A2="","","Einzel")</f>
        <v/>
      </c>
      <c r="E2" s="1" t="str">
        <f>IF($A2="","",Anmeldung!$E18&amp;" "&amp;Anmeldung!$D18)</f>
        <v/>
      </c>
      <c r="F2" s="1" t="str">
        <f>IF($A2="","",Anmeldung!$B18)</f>
        <v/>
      </c>
      <c r="G2" s="1" t="str">
        <f>IF($A2="","",Anmeldung!$G18)</f>
        <v/>
      </c>
      <c r="H2" s="1" t="str">
        <f>IF($A2="","",Anmeldung!$J18)</f>
        <v/>
      </c>
      <c r="I2" s="1" t="str">
        <f>IF($A2="","",Anmeldung!$I18)</f>
        <v/>
      </c>
      <c r="J2" s="1" t="str">
        <f t="shared" ref="J2:J211" si="1">""</f>
        <v/>
      </c>
    </row>
    <row r="3" spans="1:10" ht="14.25" customHeight="1" x14ac:dyDescent="0.3">
      <c r="A3" s="1" t="str">
        <f>IF(AND(Anmeldung!$D18&lt;&gt;"",Anmeldung!$L18="Ja",IFERROR(VALUE(LEFT(Anmeldung!$M18,FIND(":",Anmeldung!$M18)-1)),0)&gt;0,Anmeldung!$B18=MIN(Anmeldung!$B18,IFERROR(VALUE(LEFT(Anmeldung!$M18,FIND(":",Anmeldung!$M18)-1)),0))),"Poomsae Paar","")</f>
        <v/>
      </c>
      <c r="B3" s="1" t="str">
        <f>IF($A3="","",Anmeldung!$G18&amp;" / "&amp;Anmeldung!$J18)</f>
        <v/>
      </c>
      <c r="C3" s="1" t="str">
        <f t="shared" si="0"/>
        <v/>
      </c>
      <c r="D3" s="1" t="str">
        <f>IF($A3="","","Paar")</f>
        <v/>
      </c>
      <c r="E3" s="1" t="str">
        <f t="array" ref="E3">IF($A3="","",Anmeldung!$E18&amp;" "&amp;Anmeldung!$D18&amp;" / "&amp;IF(IFERROR(VALUE(LEFT(Anmeldung!$M18,FIND(":",Anmeldung!$M18)-1)),0)=0,"",INDEX(Anmeldung!$E$18:$E$47,IFERROR(VALUE(LEFT(Anmeldung!$M18,FIND(":",Anmeldung!$M18)-1)),0))&amp;" "&amp;INDEX(Anmeldung!$D$18:$D$47,IFERROR(VALUE(LEFT(Anmeldung!$M18,FIND(":",Anmeldung!$M18)-1)),0))))</f>
        <v/>
      </c>
      <c r="F3" s="1" t="str">
        <f>IF($A3="","",Anmeldung!$B18&amp;", "&amp;IFERROR(VALUE(LEFT(Anmeldung!$M18,FIND(":",Anmeldung!$M18)-1)),0))</f>
        <v/>
      </c>
      <c r="G3" s="1" t="str">
        <f>IF($A3="","",Anmeldung!$G18)</f>
        <v/>
      </c>
      <c r="H3" s="1" t="str">
        <f>IF($A3="","",Anmeldung!$J18)</f>
        <v/>
      </c>
      <c r="I3" s="1" t="str">
        <f>IF($A3="","",Anmeldung!$I18)</f>
        <v/>
      </c>
      <c r="J3" s="1" t="str">
        <f t="shared" si="1"/>
        <v/>
      </c>
    </row>
    <row r="4" spans="1:10" ht="14.25" customHeight="1" x14ac:dyDescent="0.3">
      <c r="A4" s="1" t="str">
        <f>IF(AND(Anmeldung!$D18&lt;&gt;"",Anmeldung!$N18="Ja",IFERROR(VALUE(LEFT(Anmeldung!$O18,FIND(":",Anmeldung!$O18)-1)),0)&gt;0,IFERROR(VALUE(LEFT(Anmeldung!$P18,FIND(":",Anmeldung!$P18)-1)),0)&gt;0,Anmeldung!$B18=MIN(Anmeldung!$B18,IFERROR(VALUE(LEFT(Anmeldung!$O18,FIND(":",Anmeldung!$O18)-1)),0),IFERROR(VALUE(LEFT(Anmeldung!$P18,FIND(":",Anmeldung!$P18)-1)),0))),"Poomsae Team","")</f>
        <v/>
      </c>
      <c r="B4" s="1" t="str">
        <f>IF($A4="","",Anmeldung!$G18&amp;" / "&amp;Anmeldung!$J18)</f>
        <v/>
      </c>
      <c r="C4" s="1" t="str">
        <f t="shared" si="0"/>
        <v/>
      </c>
      <c r="D4" s="1" t="str">
        <f>IF($A4="","","Team")</f>
        <v/>
      </c>
      <c r="E4" s="1" t="str">
        <f t="array" ref="E4">IF($A4="","",Anmeldung!$E18&amp;" "&amp;Anmeldung!$D18&amp;" / "&amp;IF(IFERROR(VALUE(LEFT(Anmeldung!$O18,FIND(":",Anmeldung!$O18)-1)),0)=0,"",INDEX(Anmeldung!$E$18:$E$47,IFERROR(VALUE(LEFT(Anmeldung!$O18,FIND(":",Anmeldung!$O18)-1)),0))&amp;" "&amp;INDEX(Anmeldung!$D$18:$D$47,IFERROR(VALUE(LEFT(Anmeldung!$O18,FIND(":",Anmeldung!$O18)-1)),0)))&amp;" / "&amp;IF(IFERROR(VALUE(LEFT(Anmeldung!$P18,FIND(":",Anmeldung!$P18)-1)),0)=0,"",INDEX(Anmeldung!$E$18:$E$47,IFERROR(VALUE(LEFT(Anmeldung!$P18,FIND(":",Anmeldung!$P18)-1)),0))&amp;" "&amp;INDEX(Anmeldung!$D$18:$D$47,IFERROR(VALUE(LEFT(Anmeldung!$P18,FIND(":",Anmeldung!$P18)-1)),0))))</f>
        <v/>
      </c>
      <c r="F4" s="1" t="str">
        <f>IF($A4="","",Anmeldung!$B18&amp;", "&amp;IFERROR(VALUE(LEFT(Anmeldung!$O18,FIND(":",Anmeldung!$O18)-1)),0)&amp;", "&amp;IFERROR(VALUE(LEFT(Anmeldung!$P18,FIND(":",Anmeldung!$P18)-1)),0))</f>
        <v/>
      </c>
      <c r="G4" s="1" t="str">
        <f>IF($A4="","",Anmeldung!$G18)</f>
        <v/>
      </c>
      <c r="H4" s="1" t="str">
        <f>IF($A4="","",Anmeldung!$J18)</f>
        <v/>
      </c>
      <c r="I4" s="1" t="str">
        <f>IF($A4="","",Anmeldung!$I18)</f>
        <v/>
      </c>
      <c r="J4" s="1" t="str">
        <f t="shared" si="1"/>
        <v/>
      </c>
    </row>
    <row r="5" spans="1:10" ht="14.25" customHeight="1" x14ac:dyDescent="0.3">
      <c r="A5" s="1" t="str">
        <f>IF(AND(Anmeldung!$D18&lt;&gt;"",Anmeldung!$Q18="Ja",IFERROR(VALUE(LEFT(Anmeldung!$R18,FIND(":",Anmeldung!$R18)-1)),0)&gt;0,Anmeldung!$B18=MIN(Anmeldung!$B18,IFERROR(VALUE(LEFT(Anmeldung!$R18,FIND(":",Anmeldung!$R18)-1)),0),IF(IFERROR(VALUE(LEFT(Anmeldung!$S18,FIND(":",Anmeldung!$S18)-1)),0)=0,999,IFERROR(VALUE(LEFT(Anmeldung!$S18,FIND(":",Anmeldung!$S18)-1)),0)))),"Poomsae Family","")</f>
        <v/>
      </c>
      <c r="B5" s="1" t="str">
        <f>IF($A5="","","Poomsae Family / "&amp;Anmeldung!$T18)</f>
        <v/>
      </c>
      <c r="C5" s="1" t="str">
        <f t="shared" si="0"/>
        <v/>
      </c>
      <c r="D5" s="1" t="str">
        <f>IF($A5="","","Family")</f>
        <v/>
      </c>
      <c r="E5" s="1" t="str">
        <f t="array" ref="E5">IF($A5="","",Anmeldung!$E18&amp;" "&amp;Anmeldung!$D18&amp;" / "&amp;IF(IFERROR(VALUE(LEFT(Anmeldung!$R18,FIND(":",Anmeldung!$R18)-1)),0)=0,"",INDEX(Anmeldung!$E$18:$E$47,IFERROR(VALUE(LEFT(Anmeldung!$R18,FIND(":",Anmeldung!$R18)-1)),0))&amp;" "&amp;INDEX(Anmeldung!$D$18:$D$47,IFERROR(VALUE(LEFT(Anmeldung!$R18,FIND(":",Anmeldung!$R18)-1)),0)))&amp;IF(IFERROR(VALUE(LEFT(Anmeldung!$S18,FIND(":",Anmeldung!$S18)-1)),0)&gt;0," / "&amp;IF(IFERROR(VALUE(LEFT(Anmeldung!$S18,FIND(":",Anmeldung!$S18)-1)),0)=0,"",INDEX(Anmeldung!$E$18:$E$47,IFERROR(VALUE(LEFT(Anmeldung!$S18,FIND(":",Anmeldung!$S18)-1)),0))&amp;" "&amp;INDEX(Anmeldung!$D$18:$D$47,IFERROR(VALUE(LEFT(Anmeldung!$S18,FIND(":",Anmeldung!$S18)-1)),0))),""))</f>
        <v/>
      </c>
      <c r="F5" s="1" t="str">
        <f>IF($A5="","",Anmeldung!$B18&amp;", "&amp;IFERROR(VALUE(LEFT(Anmeldung!$R18,FIND(":",Anmeldung!$R18)-1)),0)&amp;IF(IFERROR(VALUE(LEFT(Anmeldung!$S18,FIND(":",Anmeldung!$S18)-1)),0)&gt;0,", "&amp;IFERROR(VALUE(LEFT(Anmeldung!$S18,FIND(":",Anmeldung!$S18)-1)),0),""))</f>
        <v/>
      </c>
      <c r="G5" s="1" t="str">
        <f>IF($A5="","","-")</f>
        <v/>
      </c>
      <c r="H5" s="1" t="str">
        <f>IF($A5="","",Anmeldung!$T18)</f>
        <v/>
      </c>
      <c r="I5" s="1" t="str">
        <f>IF($A5="","","niedrigste Graduierung")</f>
        <v/>
      </c>
      <c r="J5" s="1" t="str">
        <f t="shared" si="1"/>
        <v/>
      </c>
    </row>
    <row r="6" spans="1:10" ht="14.25" customHeight="1" x14ac:dyDescent="0.3">
      <c r="A6" s="1" t="str">
        <f>IF(AND(Anmeldung!$D18&lt;&gt;"",Anmeldung!$U18="Ja",IFERROR(VALUE(LEFT(Anmeldung!$V18,FIND(":",Anmeldung!$V18)-1)),0)&gt;0,Anmeldung!$B18=MIN(Anmeldung!$B18,IFERROR(VALUE(LEFT(Anmeldung!$V18,FIND(":",Anmeldung!$V18)-1)),0))),"Einschrittkampf","")</f>
        <v/>
      </c>
      <c r="B6" s="1" t="str">
        <f>IF($A6="","",Anmeldung!$G18&amp;" / "&amp;Anmeldung!$J18)</f>
        <v/>
      </c>
      <c r="C6" s="1" t="str">
        <f t="shared" si="0"/>
        <v/>
      </c>
      <c r="D6" s="1" t="str">
        <f>IF($A6="","","Paar")</f>
        <v/>
      </c>
      <c r="E6" s="1" t="str">
        <f t="array" ref="E6">IF($A6="","",Anmeldung!$E18&amp;" "&amp;Anmeldung!$D18&amp;" / "&amp;IF(IFERROR(VALUE(LEFT(Anmeldung!$V18,FIND(":",Anmeldung!$V18)-1)),0)=0,"",INDEX(Anmeldung!$E$18:$E$47,IFERROR(VALUE(LEFT(Anmeldung!$V18,FIND(":",Anmeldung!$V18)-1)),0))&amp;" "&amp;INDEX(Anmeldung!$D$18:$D$47,IFERROR(VALUE(LEFT(Anmeldung!$V18,FIND(":",Anmeldung!$V18)-1)),0))))</f>
        <v/>
      </c>
      <c r="F6" s="1" t="str">
        <f>IF($A6="","",Anmeldung!$B18&amp;", "&amp;IFERROR(VALUE(LEFT(Anmeldung!$V18,FIND(":",Anmeldung!$V18)-1)),0))</f>
        <v/>
      </c>
      <c r="G6" s="1" t="str">
        <f>IF($A6="","",Anmeldung!$G18)</f>
        <v/>
      </c>
      <c r="H6" s="1" t="str">
        <f>IF($A6="","",Anmeldung!$J18)</f>
        <v/>
      </c>
      <c r="I6" s="1" t="str">
        <f>IF($A6="","",Anmeldung!$I18)</f>
        <v/>
      </c>
      <c r="J6" s="1" t="str">
        <f t="shared" si="1"/>
        <v/>
      </c>
    </row>
    <row r="7" spans="1:10" ht="14.25" customHeight="1" x14ac:dyDescent="0.3">
      <c r="A7" s="1" t="str">
        <f>IF(AND(Anmeldung!$D18&lt;&gt;"",Anmeldung!$W18="Ja"),"Bruchtest","")</f>
        <v/>
      </c>
      <c r="B7" s="1" t="str">
        <f>IF($A7="","",IF(YEAR(Anmeldung!$F18)&gt;=2009,"Bruchtest 16-17 Jahre / JG 2010-2009 / 1,0 cm",IF(YEAR(Anmeldung!$F18)&gt;=1986,"Bruchtest 18-40 Jahre / JG 2008-1986 / 1,5 cm","Bruchtest ab 41 Jahre / JG ab 1985 / 1,0 cm")))</f>
        <v/>
      </c>
      <c r="C7" s="1" t="str">
        <f t="shared" si="0"/>
        <v/>
      </c>
      <c r="D7" s="1" t="str">
        <f t="shared" ref="D7:D9" si="2">IF($A7="","","Einzel")</f>
        <v/>
      </c>
      <c r="E7" s="1" t="str">
        <f>IF($A7="","",Anmeldung!$E18&amp;" "&amp;Anmeldung!$D18)</f>
        <v/>
      </c>
      <c r="F7" s="1" t="str">
        <f>IF($A7="","",Anmeldung!$B18)</f>
        <v/>
      </c>
      <c r="G7" s="1" t="str">
        <f>IF($A7="","",Anmeldung!$G18)</f>
        <v/>
      </c>
      <c r="H7" s="1" t="str">
        <f>IF($A7="","",Anmeldung!$J18)</f>
        <v/>
      </c>
      <c r="I7" s="1" t="str">
        <f>IF($A7="","",Anmeldung!$I18)</f>
        <v/>
      </c>
      <c r="J7" s="1" t="str">
        <f t="shared" si="1"/>
        <v/>
      </c>
    </row>
    <row r="8" spans="1:10" ht="14.25" customHeight="1" x14ac:dyDescent="0.3">
      <c r="A8" s="1" t="str">
        <f>IF(AND(Anmeldung!$D18&lt;&gt;"",Anmeldung!$X18="Ja"),"Speed-Kicking","")</f>
        <v/>
      </c>
      <c r="B8" s="1" t="str">
        <f>IF($A8="","",Anmeldung!$G18)</f>
        <v/>
      </c>
      <c r="C8" s="1" t="str">
        <f t="shared" si="0"/>
        <v/>
      </c>
      <c r="D8" s="1" t="str">
        <f t="shared" si="2"/>
        <v/>
      </c>
      <c r="E8" s="1" t="str">
        <f>IF($A8="","",Anmeldung!$E18&amp;" "&amp;Anmeldung!$D18)</f>
        <v/>
      </c>
      <c r="F8" s="1" t="str">
        <f>IF($A8="","",Anmeldung!$B18)</f>
        <v/>
      </c>
      <c r="G8" s="1" t="str">
        <f>IF($A8="","",Anmeldung!$G18)</f>
        <v/>
      </c>
      <c r="H8" s="1" t="str">
        <f>IF($A8="","",Anmeldung!$J18)</f>
        <v/>
      </c>
      <c r="I8" s="1" t="str">
        <f>IF($A8="","",Anmeldung!$I18)</f>
        <v/>
      </c>
      <c r="J8" s="1" t="str">
        <f t="shared" si="1"/>
        <v/>
      </c>
    </row>
    <row r="9" spans="1:10" ht="14.25" customHeight="1" x14ac:dyDescent="0.3">
      <c r="A9" s="1" t="str">
        <f>IF(AND(Anmeldung!$D19&lt;&gt;"",Anmeldung!$K19="Ja"),"Poomsae Einzel","")</f>
        <v/>
      </c>
      <c r="B9" s="1" t="str">
        <f>IF($A9="","",Anmeldung!$G19&amp;" / "&amp;Anmeldung!$J19)</f>
        <v/>
      </c>
      <c r="C9" s="1" t="str">
        <f t="shared" si="0"/>
        <v/>
      </c>
      <c r="D9" s="1" t="str">
        <f t="shared" si="2"/>
        <v/>
      </c>
      <c r="E9" s="1" t="str">
        <f>IF($A9="","",Anmeldung!$E19&amp;" "&amp;Anmeldung!$D19)</f>
        <v/>
      </c>
      <c r="F9" s="1" t="str">
        <f>IF($A9="","",Anmeldung!$B19)</f>
        <v/>
      </c>
      <c r="G9" s="1" t="str">
        <f>IF($A9="","",Anmeldung!$G19)</f>
        <v/>
      </c>
      <c r="H9" s="1" t="str">
        <f>IF($A9="","",Anmeldung!$J19)</f>
        <v/>
      </c>
      <c r="I9" s="1" t="str">
        <f>IF($A9="","",Anmeldung!$I19)</f>
        <v/>
      </c>
      <c r="J9" s="1" t="str">
        <f t="shared" si="1"/>
        <v/>
      </c>
    </row>
    <row r="10" spans="1:10" ht="14.25" customHeight="1" x14ac:dyDescent="0.3">
      <c r="A10" s="1" t="str">
        <f>IF(AND(Anmeldung!$D19&lt;&gt;"",Anmeldung!$L19="Ja",IFERROR(VALUE(LEFT(Anmeldung!$M19,FIND(":",Anmeldung!$M19)-1)),0)&gt;0,Anmeldung!$B19=MIN(Anmeldung!$B19,IFERROR(VALUE(LEFT(Anmeldung!$M19,FIND(":",Anmeldung!$M19)-1)),0))),"Poomsae Paar","")</f>
        <v/>
      </c>
      <c r="B10" s="1" t="str">
        <f>IF($A10="","",Anmeldung!$G19&amp;" / "&amp;Anmeldung!$J19)</f>
        <v/>
      </c>
      <c r="C10" s="1" t="str">
        <f t="shared" si="0"/>
        <v/>
      </c>
      <c r="D10" s="1" t="str">
        <f>IF($A10="","","Paar")</f>
        <v/>
      </c>
      <c r="E10" s="1" t="str">
        <f t="array" ref="E10">IF($A10="","",Anmeldung!$E19&amp;" "&amp;Anmeldung!$D19&amp;" / "&amp;IF(IFERROR(VALUE(LEFT(Anmeldung!$M19,FIND(":",Anmeldung!$M19)-1)),0)=0,"",INDEX(Anmeldung!$E$18:$E$47,IFERROR(VALUE(LEFT(Anmeldung!$M19,FIND(":",Anmeldung!$M19)-1)),0))&amp;" "&amp;INDEX(Anmeldung!$D$18:$D$47,IFERROR(VALUE(LEFT(Anmeldung!$M19,FIND(":",Anmeldung!$M19)-1)),0))))</f>
        <v/>
      </c>
      <c r="F10" s="1" t="str">
        <f>IF($A10="","",Anmeldung!$B19&amp;", "&amp;IFERROR(VALUE(LEFT(Anmeldung!$M19,FIND(":",Anmeldung!$M19)-1)),0))</f>
        <v/>
      </c>
      <c r="G10" s="1" t="str">
        <f>IF($A10="","",Anmeldung!$G19)</f>
        <v/>
      </c>
      <c r="H10" s="1" t="str">
        <f>IF($A10="","",Anmeldung!$J19)</f>
        <v/>
      </c>
      <c r="I10" s="1" t="str">
        <f>IF($A10="","",Anmeldung!$I19)</f>
        <v/>
      </c>
      <c r="J10" s="1" t="str">
        <f t="shared" si="1"/>
        <v/>
      </c>
    </row>
    <row r="11" spans="1:10" ht="14.25" customHeight="1" x14ac:dyDescent="0.3">
      <c r="A11" s="1" t="str">
        <f>IF(AND(Anmeldung!$D19&lt;&gt;"",Anmeldung!$N19="Ja",IFERROR(VALUE(LEFT(Anmeldung!$O19,FIND(":",Anmeldung!$O19)-1)),0)&gt;0,IFERROR(VALUE(LEFT(Anmeldung!$P19,FIND(":",Anmeldung!$P19)-1)),0)&gt;0,Anmeldung!$B19=MIN(Anmeldung!$B19,IFERROR(VALUE(LEFT(Anmeldung!$O19,FIND(":",Anmeldung!$O19)-1)),0),IFERROR(VALUE(LEFT(Anmeldung!$P19,FIND(":",Anmeldung!$P19)-1)),0))),"Poomsae Team","")</f>
        <v/>
      </c>
      <c r="B11" s="1" t="str">
        <f>IF($A11="","",Anmeldung!$G19&amp;" / "&amp;Anmeldung!$J19)</f>
        <v/>
      </c>
      <c r="C11" s="1" t="str">
        <f t="shared" si="0"/>
        <v/>
      </c>
      <c r="D11" s="1" t="str">
        <f>IF($A11="","","Team")</f>
        <v/>
      </c>
      <c r="E11" s="1" t="str">
        <f t="array" ref="E11">IF($A11="","",Anmeldung!$E19&amp;" "&amp;Anmeldung!$D19&amp;" / "&amp;IF(IFERROR(VALUE(LEFT(Anmeldung!$O19,FIND(":",Anmeldung!$O19)-1)),0)=0,"",INDEX(Anmeldung!$E$18:$E$47,IFERROR(VALUE(LEFT(Anmeldung!$O19,FIND(":",Anmeldung!$O19)-1)),0))&amp;" "&amp;INDEX(Anmeldung!$D$18:$D$47,IFERROR(VALUE(LEFT(Anmeldung!$O19,FIND(":",Anmeldung!$O19)-1)),0)))&amp;" / "&amp;IF(IFERROR(VALUE(LEFT(Anmeldung!$P19,FIND(":",Anmeldung!$P19)-1)),0)=0,"",INDEX(Anmeldung!$E$18:$E$47,IFERROR(VALUE(LEFT(Anmeldung!$P19,FIND(":",Anmeldung!$P19)-1)),0))&amp;" "&amp;INDEX(Anmeldung!$D$18:$D$47,IFERROR(VALUE(LEFT(Anmeldung!$P19,FIND(":",Anmeldung!$P19)-1)),0))))</f>
        <v/>
      </c>
      <c r="F11" s="1" t="str">
        <f>IF($A11="","",Anmeldung!$B19&amp;", "&amp;IFERROR(VALUE(LEFT(Anmeldung!$O19,FIND(":",Anmeldung!$O19)-1)),0)&amp;", "&amp;IFERROR(VALUE(LEFT(Anmeldung!$P19,FIND(":",Anmeldung!$P19)-1)),0))</f>
        <v/>
      </c>
      <c r="G11" s="1" t="str">
        <f>IF($A11="","",Anmeldung!$G19)</f>
        <v/>
      </c>
      <c r="H11" s="1" t="str">
        <f>IF($A11="","",Anmeldung!$J19)</f>
        <v/>
      </c>
      <c r="I11" s="1" t="str">
        <f>IF($A11="","",Anmeldung!$I19)</f>
        <v/>
      </c>
      <c r="J11" s="1" t="str">
        <f t="shared" si="1"/>
        <v/>
      </c>
    </row>
    <row r="12" spans="1:10" ht="14.25" customHeight="1" x14ac:dyDescent="0.3">
      <c r="A12" s="1" t="str">
        <f>IF(AND(Anmeldung!$D19&lt;&gt;"",Anmeldung!$Q19="Ja",IFERROR(VALUE(LEFT(Anmeldung!$R19,FIND(":",Anmeldung!$R19)-1)),0)&gt;0,Anmeldung!$B19=MIN(Anmeldung!$B19,IFERROR(VALUE(LEFT(Anmeldung!$R19,FIND(":",Anmeldung!$R19)-1)),0),IF(IFERROR(VALUE(LEFT(Anmeldung!$S19,FIND(":",Anmeldung!$S19)-1)),0)=0,999,IFERROR(VALUE(LEFT(Anmeldung!$S19,FIND(":",Anmeldung!$S19)-1)),0)))),"Poomsae Family","")</f>
        <v/>
      </c>
      <c r="B12" s="1" t="str">
        <f>IF($A12="","","Poomsae Family / "&amp;Anmeldung!$T19)</f>
        <v/>
      </c>
      <c r="C12" s="1" t="str">
        <f t="shared" si="0"/>
        <v/>
      </c>
      <c r="D12" s="1" t="str">
        <f>IF($A12="","","Family")</f>
        <v/>
      </c>
      <c r="E12" s="1" t="str">
        <f t="array" ref="E12">IF($A12="","",Anmeldung!$E19&amp;" "&amp;Anmeldung!$D19&amp;" / "&amp;IF(IFERROR(VALUE(LEFT(Anmeldung!$R19,FIND(":",Anmeldung!$R19)-1)),0)=0,"",INDEX(Anmeldung!$E$18:$E$47,IFERROR(VALUE(LEFT(Anmeldung!$R19,FIND(":",Anmeldung!$R19)-1)),0))&amp;" "&amp;INDEX(Anmeldung!$D$18:$D$47,IFERROR(VALUE(LEFT(Anmeldung!$R19,FIND(":",Anmeldung!$R19)-1)),0)))&amp;IF(IFERROR(VALUE(LEFT(Anmeldung!$S19,FIND(":",Anmeldung!$S19)-1)),0)&gt;0," / "&amp;IF(IFERROR(VALUE(LEFT(Anmeldung!$S19,FIND(":",Anmeldung!$S19)-1)),0)=0,"",INDEX(Anmeldung!$E$18:$E$47,IFERROR(VALUE(LEFT(Anmeldung!$S19,FIND(":",Anmeldung!$S19)-1)),0))&amp;" "&amp;INDEX(Anmeldung!$D$18:$D$47,IFERROR(VALUE(LEFT(Anmeldung!$S19,FIND(":",Anmeldung!$S19)-1)),0))),""))</f>
        <v/>
      </c>
      <c r="F12" s="1" t="str">
        <f>IF($A12="","",Anmeldung!$B19&amp;", "&amp;IFERROR(VALUE(LEFT(Anmeldung!$R19,FIND(":",Anmeldung!$R19)-1)),0)&amp;IF(IFERROR(VALUE(LEFT(Anmeldung!$S19,FIND(":",Anmeldung!$S19)-1)),0)&gt;0,", "&amp;IFERROR(VALUE(LEFT(Anmeldung!$S19,FIND(":",Anmeldung!$S19)-1)),0),""))</f>
        <v/>
      </c>
      <c r="G12" s="1" t="str">
        <f>IF($A12="","","-")</f>
        <v/>
      </c>
      <c r="H12" s="1" t="str">
        <f>IF($A12="","",Anmeldung!$T19)</f>
        <v/>
      </c>
      <c r="I12" s="1" t="str">
        <f>IF($A12="","","niedrigste Graduierung")</f>
        <v/>
      </c>
      <c r="J12" s="1" t="str">
        <f t="shared" si="1"/>
        <v/>
      </c>
    </row>
    <row r="13" spans="1:10" ht="14.25" customHeight="1" x14ac:dyDescent="0.3">
      <c r="A13" s="1" t="str">
        <f>IF(AND(Anmeldung!$D19&lt;&gt;"",Anmeldung!$U19="Ja",IFERROR(VALUE(LEFT(Anmeldung!$V19,FIND(":",Anmeldung!$V19)-1)),0)&gt;0,Anmeldung!$B19=MIN(Anmeldung!$B19,IFERROR(VALUE(LEFT(Anmeldung!$V19,FIND(":",Anmeldung!$V19)-1)),0))),"Einschrittkampf","")</f>
        <v/>
      </c>
      <c r="B13" s="1" t="str">
        <f>IF($A13="","",Anmeldung!$G19&amp;" / "&amp;Anmeldung!$J19)</f>
        <v/>
      </c>
      <c r="C13" s="1" t="str">
        <f t="shared" si="0"/>
        <v/>
      </c>
      <c r="D13" s="1" t="str">
        <f>IF($A13="","","Paar")</f>
        <v/>
      </c>
      <c r="E13" s="1" t="str">
        <f t="array" ref="E13">IF($A13="","",Anmeldung!$E19&amp;" "&amp;Anmeldung!$D19&amp;" / "&amp;IF(IFERROR(VALUE(LEFT(Anmeldung!$V19,FIND(":",Anmeldung!$V19)-1)),0)=0,"",INDEX(Anmeldung!$E$18:$E$47,IFERROR(VALUE(LEFT(Anmeldung!$V19,FIND(":",Anmeldung!$V19)-1)),0))&amp;" "&amp;INDEX(Anmeldung!$D$18:$D$47,IFERROR(VALUE(LEFT(Anmeldung!$V19,FIND(":",Anmeldung!$V19)-1)),0))))</f>
        <v/>
      </c>
      <c r="F13" s="1" t="str">
        <f>IF($A13="","",Anmeldung!$B19&amp;", "&amp;IFERROR(VALUE(LEFT(Anmeldung!$V19,FIND(":",Anmeldung!$V19)-1)),0))</f>
        <v/>
      </c>
      <c r="G13" s="1" t="str">
        <f>IF($A13="","",Anmeldung!$G19)</f>
        <v/>
      </c>
      <c r="H13" s="1" t="str">
        <f>IF($A13="","",Anmeldung!$J19)</f>
        <v/>
      </c>
      <c r="I13" s="1" t="str">
        <f>IF($A13="","",Anmeldung!$I19)</f>
        <v/>
      </c>
      <c r="J13" s="1" t="str">
        <f t="shared" si="1"/>
        <v/>
      </c>
    </row>
    <row r="14" spans="1:10" ht="14.25" customHeight="1" x14ac:dyDescent="0.3">
      <c r="A14" s="1" t="str">
        <f>IF(AND(Anmeldung!$D19&lt;&gt;"",Anmeldung!$W19="Ja"),"Bruchtest","")</f>
        <v/>
      </c>
      <c r="B14" s="1" t="str">
        <f>IF($A14="","",IF(YEAR(Anmeldung!$F19)&gt;=2009,"Bruchtest 16-17 Jahre / JG 2010-2009 / 1,0 cm",IF(YEAR(Anmeldung!$F19)&gt;=1986,"Bruchtest 18-40 Jahre / JG 2008-1986 / 1,5 cm","Bruchtest ab 41 Jahre / JG ab 1985 / 1,0 cm")))</f>
        <v/>
      </c>
      <c r="C14" s="1" t="str">
        <f t="shared" si="0"/>
        <v/>
      </c>
      <c r="D14" s="1" t="str">
        <f t="shared" ref="D14:D16" si="3">IF($A14="","","Einzel")</f>
        <v/>
      </c>
      <c r="E14" s="1" t="str">
        <f>IF($A14="","",Anmeldung!$E19&amp;" "&amp;Anmeldung!$D19)</f>
        <v/>
      </c>
      <c r="F14" s="1" t="str">
        <f>IF($A14="","",Anmeldung!$B19)</f>
        <v/>
      </c>
      <c r="G14" s="1" t="str">
        <f>IF($A14="","",Anmeldung!$G19)</f>
        <v/>
      </c>
      <c r="H14" s="1" t="str">
        <f>IF($A14="","",Anmeldung!$J19)</f>
        <v/>
      </c>
      <c r="I14" s="1" t="str">
        <f>IF($A14="","",Anmeldung!$I19)</f>
        <v/>
      </c>
      <c r="J14" s="1" t="str">
        <f t="shared" si="1"/>
        <v/>
      </c>
    </row>
    <row r="15" spans="1:10" ht="14.25" customHeight="1" x14ac:dyDescent="0.3">
      <c r="A15" s="1" t="str">
        <f>IF(AND(Anmeldung!$D19&lt;&gt;"",Anmeldung!$X19="Ja"),"Speed-Kicking","")</f>
        <v/>
      </c>
      <c r="B15" s="1" t="str">
        <f>IF($A15="","",Anmeldung!$G19)</f>
        <v/>
      </c>
      <c r="C15" s="1" t="str">
        <f t="shared" si="0"/>
        <v/>
      </c>
      <c r="D15" s="1" t="str">
        <f t="shared" si="3"/>
        <v/>
      </c>
      <c r="E15" s="1" t="str">
        <f>IF($A15="","",Anmeldung!$E19&amp;" "&amp;Anmeldung!$D19)</f>
        <v/>
      </c>
      <c r="F15" s="1" t="str">
        <f>IF($A15="","",Anmeldung!$B19)</f>
        <v/>
      </c>
      <c r="G15" s="1" t="str">
        <f>IF($A15="","",Anmeldung!$G19)</f>
        <v/>
      </c>
      <c r="H15" s="1" t="str">
        <f>IF($A15="","",Anmeldung!$J19)</f>
        <v/>
      </c>
      <c r="I15" s="1" t="str">
        <f>IF($A15="","",Anmeldung!$I19)</f>
        <v/>
      </c>
      <c r="J15" s="1" t="str">
        <f t="shared" si="1"/>
        <v/>
      </c>
    </row>
    <row r="16" spans="1:10" ht="14.25" customHeight="1" x14ac:dyDescent="0.3">
      <c r="A16" s="1" t="str">
        <f>IF(AND(Anmeldung!$D20&lt;&gt;"",Anmeldung!$K20="Ja"),"Poomsae Einzel","")</f>
        <v/>
      </c>
      <c r="B16" s="1" t="str">
        <f>IF($A16="","",Anmeldung!$G20&amp;" / "&amp;Anmeldung!$J20)</f>
        <v/>
      </c>
      <c r="C16" s="1" t="str">
        <f t="shared" si="0"/>
        <v/>
      </c>
      <c r="D16" s="1" t="str">
        <f t="shared" si="3"/>
        <v/>
      </c>
      <c r="E16" s="1" t="str">
        <f>IF($A16="","",Anmeldung!$E20&amp;" "&amp;Anmeldung!$D20)</f>
        <v/>
      </c>
      <c r="F16" s="1" t="str">
        <f>IF($A16="","",Anmeldung!$B20)</f>
        <v/>
      </c>
      <c r="G16" s="1" t="str">
        <f>IF($A16="","",Anmeldung!$G20)</f>
        <v/>
      </c>
      <c r="H16" s="1" t="str">
        <f>IF($A16="","",Anmeldung!$J20)</f>
        <v/>
      </c>
      <c r="I16" s="1" t="str">
        <f>IF($A16="","",Anmeldung!$I20)</f>
        <v/>
      </c>
      <c r="J16" s="1" t="str">
        <f t="shared" si="1"/>
        <v/>
      </c>
    </row>
    <row r="17" spans="1:10" ht="14.25" customHeight="1" x14ac:dyDescent="0.3">
      <c r="A17" s="1" t="str">
        <f>IF(AND(Anmeldung!$D20&lt;&gt;"",Anmeldung!$L20="Ja",IFERROR(VALUE(LEFT(Anmeldung!$M20,FIND(":",Anmeldung!$M20)-1)),0)&gt;0,Anmeldung!$B20=MIN(Anmeldung!$B20,IFERROR(VALUE(LEFT(Anmeldung!$M20,FIND(":",Anmeldung!$M20)-1)),0))),"Poomsae Paar","")</f>
        <v/>
      </c>
      <c r="B17" s="1" t="str">
        <f>IF($A17="","",Anmeldung!$G20&amp;" / "&amp;Anmeldung!$J20)</f>
        <v/>
      </c>
      <c r="C17" s="1" t="str">
        <f t="shared" si="0"/>
        <v/>
      </c>
      <c r="D17" s="1" t="str">
        <f>IF($A17="","","Paar")</f>
        <v/>
      </c>
      <c r="E17" s="1" t="str">
        <f t="array" ref="E17">IF($A17="","",Anmeldung!$E20&amp;" "&amp;Anmeldung!$D20&amp;" / "&amp;IF(IFERROR(VALUE(LEFT(Anmeldung!$M20,FIND(":",Anmeldung!$M20)-1)),0)=0,"",INDEX(Anmeldung!$E$18:$E$47,IFERROR(VALUE(LEFT(Anmeldung!$M20,FIND(":",Anmeldung!$M20)-1)),0))&amp;" "&amp;INDEX(Anmeldung!$D$18:$D$47,IFERROR(VALUE(LEFT(Anmeldung!$M20,FIND(":",Anmeldung!$M20)-1)),0))))</f>
        <v/>
      </c>
      <c r="F17" s="1" t="str">
        <f>IF($A17="","",Anmeldung!$B20&amp;", "&amp;IFERROR(VALUE(LEFT(Anmeldung!$M20,FIND(":",Anmeldung!$M20)-1)),0))</f>
        <v/>
      </c>
      <c r="G17" s="1" t="str">
        <f>IF($A17="","",Anmeldung!$G20)</f>
        <v/>
      </c>
      <c r="H17" s="1" t="str">
        <f>IF($A17="","",Anmeldung!$J20)</f>
        <v/>
      </c>
      <c r="I17" s="1" t="str">
        <f>IF($A17="","",Anmeldung!$I20)</f>
        <v/>
      </c>
      <c r="J17" s="1" t="str">
        <f t="shared" si="1"/>
        <v/>
      </c>
    </row>
    <row r="18" spans="1:10" ht="14.25" customHeight="1" x14ac:dyDescent="0.3">
      <c r="A18" s="1" t="str">
        <f>IF(AND(Anmeldung!$D20&lt;&gt;"",Anmeldung!$N20="Ja",IFERROR(VALUE(LEFT(Anmeldung!$O20,FIND(":",Anmeldung!$O20)-1)),0)&gt;0,IFERROR(VALUE(LEFT(Anmeldung!$P20,FIND(":",Anmeldung!$P20)-1)),0)&gt;0,Anmeldung!$B20=MIN(Anmeldung!$B20,IFERROR(VALUE(LEFT(Anmeldung!$O20,FIND(":",Anmeldung!$O20)-1)),0),IFERROR(VALUE(LEFT(Anmeldung!$P20,FIND(":",Anmeldung!$P20)-1)),0))),"Poomsae Team","")</f>
        <v/>
      </c>
      <c r="B18" s="1" t="str">
        <f>IF($A18="","",Anmeldung!$G20&amp;" / "&amp;Anmeldung!$J20)</f>
        <v/>
      </c>
      <c r="C18" s="1" t="str">
        <f t="shared" si="0"/>
        <v/>
      </c>
      <c r="D18" s="1" t="str">
        <f>IF($A18="","","Team")</f>
        <v/>
      </c>
      <c r="E18" s="1" t="str">
        <f t="array" ref="E18">IF($A18="","",Anmeldung!$E20&amp;" "&amp;Anmeldung!$D20&amp;" / "&amp;IF(IFERROR(VALUE(LEFT(Anmeldung!$O20,FIND(":",Anmeldung!$O20)-1)),0)=0,"",INDEX(Anmeldung!$E$18:$E$47,IFERROR(VALUE(LEFT(Anmeldung!$O20,FIND(":",Anmeldung!$O20)-1)),0))&amp;" "&amp;INDEX(Anmeldung!$D$18:$D$47,IFERROR(VALUE(LEFT(Anmeldung!$O20,FIND(":",Anmeldung!$O20)-1)),0)))&amp;" / "&amp;IF(IFERROR(VALUE(LEFT(Anmeldung!$P20,FIND(":",Anmeldung!$P20)-1)),0)=0,"",INDEX(Anmeldung!$E$18:$E$47,IFERROR(VALUE(LEFT(Anmeldung!$P20,FIND(":",Anmeldung!$P20)-1)),0))&amp;" "&amp;INDEX(Anmeldung!$D$18:$D$47,IFERROR(VALUE(LEFT(Anmeldung!$P20,FIND(":",Anmeldung!$P20)-1)),0))))</f>
        <v/>
      </c>
      <c r="F18" s="1" t="str">
        <f>IF($A18="","",Anmeldung!$B20&amp;", "&amp;IFERROR(VALUE(LEFT(Anmeldung!$O20,FIND(":",Anmeldung!$O20)-1)),0)&amp;", "&amp;IFERROR(VALUE(LEFT(Anmeldung!$P20,FIND(":",Anmeldung!$P20)-1)),0))</f>
        <v/>
      </c>
      <c r="G18" s="1" t="str">
        <f>IF($A18="","",Anmeldung!$G20)</f>
        <v/>
      </c>
      <c r="H18" s="1" t="str">
        <f>IF($A18="","",Anmeldung!$J20)</f>
        <v/>
      </c>
      <c r="I18" s="1" t="str">
        <f>IF($A18="","",Anmeldung!$I20)</f>
        <v/>
      </c>
      <c r="J18" s="1" t="str">
        <f t="shared" si="1"/>
        <v/>
      </c>
    </row>
    <row r="19" spans="1:10" ht="14.25" customHeight="1" x14ac:dyDescent="0.3">
      <c r="A19" s="1" t="str">
        <f>IF(AND(Anmeldung!$D20&lt;&gt;"",Anmeldung!$Q20="Ja",IFERROR(VALUE(LEFT(Anmeldung!$R20,FIND(":",Anmeldung!$R20)-1)),0)&gt;0,Anmeldung!$B20=MIN(Anmeldung!$B20,IFERROR(VALUE(LEFT(Anmeldung!$R20,FIND(":",Anmeldung!$R20)-1)),0),IF(IFERROR(VALUE(LEFT(Anmeldung!$S20,FIND(":",Anmeldung!$S20)-1)),0)=0,999,IFERROR(VALUE(LEFT(Anmeldung!$S20,FIND(":",Anmeldung!$S20)-1)),0)))),"Poomsae Family","")</f>
        <v/>
      </c>
      <c r="B19" s="1" t="str">
        <f>IF($A19="","","Poomsae Family / "&amp;Anmeldung!$T20)</f>
        <v/>
      </c>
      <c r="C19" s="1" t="str">
        <f t="shared" si="0"/>
        <v/>
      </c>
      <c r="D19" s="1" t="str">
        <f>IF($A19="","","Family")</f>
        <v/>
      </c>
      <c r="E19" s="1" t="str">
        <f t="array" ref="E19">IF($A19="","",Anmeldung!$E20&amp;" "&amp;Anmeldung!$D20&amp;" / "&amp;IF(IFERROR(VALUE(LEFT(Anmeldung!$R20,FIND(":",Anmeldung!$R20)-1)),0)=0,"",INDEX(Anmeldung!$E$18:$E$47,IFERROR(VALUE(LEFT(Anmeldung!$R20,FIND(":",Anmeldung!$R20)-1)),0))&amp;" "&amp;INDEX(Anmeldung!$D$18:$D$47,IFERROR(VALUE(LEFT(Anmeldung!$R20,FIND(":",Anmeldung!$R20)-1)),0)))&amp;IF(IFERROR(VALUE(LEFT(Anmeldung!$S20,FIND(":",Anmeldung!$S20)-1)),0)&gt;0," / "&amp;IF(IFERROR(VALUE(LEFT(Anmeldung!$S20,FIND(":",Anmeldung!$S20)-1)),0)=0,"",INDEX(Anmeldung!$E$18:$E$47,IFERROR(VALUE(LEFT(Anmeldung!$S20,FIND(":",Anmeldung!$S20)-1)),0))&amp;" "&amp;INDEX(Anmeldung!$D$18:$D$47,IFERROR(VALUE(LEFT(Anmeldung!$S20,FIND(":",Anmeldung!$S20)-1)),0))),""))</f>
        <v/>
      </c>
      <c r="F19" s="1" t="str">
        <f>IF($A19="","",Anmeldung!$B20&amp;", "&amp;IFERROR(VALUE(LEFT(Anmeldung!$R20,FIND(":",Anmeldung!$R20)-1)),0)&amp;IF(IFERROR(VALUE(LEFT(Anmeldung!$S20,FIND(":",Anmeldung!$S20)-1)),0)&gt;0,", "&amp;IFERROR(VALUE(LEFT(Anmeldung!$S20,FIND(":",Anmeldung!$S20)-1)),0),""))</f>
        <v/>
      </c>
      <c r="G19" s="1" t="str">
        <f>IF($A19="","","-")</f>
        <v/>
      </c>
      <c r="H19" s="1" t="str">
        <f>IF($A19="","",Anmeldung!$T20)</f>
        <v/>
      </c>
      <c r="I19" s="1" t="str">
        <f>IF($A19="","","niedrigste Graduierung")</f>
        <v/>
      </c>
      <c r="J19" s="1" t="str">
        <f t="shared" si="1"/>
        <v/>
      </c>
    </row>
    <row r="20" spans="1:10" ht="14.25" customHeight="1" x14ac:dyDescent="0.3">
      <c r="A20" s="1" t="str">
        <f>IF(AND(Anmeldung!$D20&lt;&gt;"",Anmeldung!$U20="Ja",IFERROR(VALUE(LEFT(Anmeldung!$V20,FIND(":",Anmeldung!$V20)-1)),0)&gt;0,Anmeldung!$B20=MIN(Anmeldung!$B20,IFERROR(VALUE(LEFT(Anmeldung!$V20,FIND(":",Anmeldung!$V20)-1)),0))),"Einschrittkampf","")</f>
        <v/>
      </c>
      <c r="B20" s="1" t="str">
        <f>IF($A20="","",Anmeldung!$G20&amp;" / "&amp;Anmeldung!$J20)</f>
        <v/>
      </c>
      <c r="C20" s="1" t="str">
        <f t="shared" si="0"/>
        <v/>
      </c>
      <c r="D20" s="1" t="str">
        <f>IF($A20="","","Paar")</f>
        <v/>
      </c>
      <c r="E20" s="1" t="str">
        <f t="array" ref="E20">IF($A20="","",Anmeldung!$E20&amp;" "&amp;Anmeldung!$D20&amp;" / "&amp;IF(IFERROR(VALUE(LEFT(Anmeldung!$V20,FIND(":",Anmeldung!$V20)-1)),0)=0,"",INDEX(Anmeldung!$E$18:$E$47,IFERROR(VALUE(LEFT(Anmeldung!$V20,FIND(":",Anmeldung!$V20)-1)),0))&amp;" "&amp;INDEX(Anmeldung!$D$18:$D$47,IFERROR(VALUE(LEFT(Anmeldung!$V20,FIND(":",Anmeldung!$V20)-1)),0))))</f>
        <v/>
      </c>
      <c r="F20" s="1" t="str">
        <f>IF($A20="","",Anmeldung!$B20&amp;", "&amp;IFERROR(VALUE(LEFT(Anmeldung!$V20,FIND(":",Anmeldung!$V20)-1)),0))</f>
        <v/>
      </c>
      <c r="G20" s="1" t="str">
        <f>IF($A20="","",Anmeldung!$G20)</f>
        <v/>
      </c>
      <c r="H20" s="1" t="str">
        <f>IF($A20="","",Anmeldung!$J20)</f>
        <v/>
      </c>
      <c r="I20" s="1" t="str">
        <f>IF($A20="","",Anmeldung!$I20)</f>
        <v/>
      </c>
      <c r="J20" s="1" t="str">
        <f t="shared" si="1"/>
        <v/>
      </c>
    </row>
    <row r="21" spans="1:10" ht="14.25" customHeight="1" x14ac:dyDescent="0.3">
      <c r="A21" s="1" t="str">
        <f>IF(AND(Anmeldung!$D20&lt;&gt;"",Anmeldung!$W20="Ja"),"Bruchtest","")</f>
        <v/>
      </c>
      <c r="B21" s="1" t="str">
        <f>IF($A21="","",IF(YEAR(Anmeldung!$F20)&gt;=2009,"Bruchtest 16-17 Jahre / JG 2010-2009 / 1,0 cm",IF(YEAR(Anmeldung!$F20)&gt;=1986,"Bruchtest 18-40 Jahre / JG 2008-1986 / 1,5 cm","Bruchtest ab 41 Jahre / JG ab 1985 / 1,0 cm")))</f>
        <v/>
      </c>
      <c r="C21" s="1" t="str">
        <f t="shared" si="0"/>
        <v/>
      </c>
      <c r="D21" s="1" t="str">
        <f t="shared" ref="D21:D23" si="4">IF($A21="","","Einzel")</f>
        <v/>
      </c>
      <c r="E21" s="1" t="str">
        <f>IF($A21="","",Anmeldung!$E20&amp;" "&amp;Anmeldung!$D20)</f>
        <v/>
      </c>
      <c r="F21" s="1" t="str">
        <f>IF($A21="","",Anmeldung!$B20)</f>
        <v/>
      </c>
      <c r="G21" s="1" t="str">
        <f>IF($A21="","",Anmeldung!$G20)</f>
        <v/>
      </c>
      <c r="H21" s="1" t="str">
        <f>IF($A21="","",Anmeldung!$J20)</f>
        <v/>
      </c>
      <c r="I21" s="1" t="str">
        <f>IF($A21="","",Anmeldung!$I20)</f>
        <v/>
      </c>
      <c r="J21" s="1" t="str">
        <f t="shared" si="1"/>
        <v/>
      </c>
    </row>
    <row r="22" spans="1:10" ht="14.25" customHeight="1" x14ac:dyDescent="0.3">
      <c r="A22" s="1" t="str">
        <f>IF(AND(Anmeldung!$D20&lt;&gt;"",Anmeldung!$X20="Ja"),"Speed-Kicking","")</f>
        <v/>
      </c>
      <c r="B22" s="1" t="str">
        <f>IF($A22="","",Anmeldung!$G20)</f>
        <v/>
      </c>
      <c r="C22" s="1" t="str">
        <f t="shared" si="0"/>
        <v/>
      </c>
      <c r="D22" s="1" t="str">
        <f t="shared" si="4"/>
        <v/>
      </c>
      <c r="E22" s="1" t="str">
        <f>IF($A22="","",Anmeldung!$E20&amp;" "&amp;Anmeldung!$D20)</f>
        <v/>
      </c>
      <c r="F22" s="1" t="str">
        <f>IF($A22="","",Anmeldung!$B20)</f>
        <v/>
      </c>
      <c r="G22" s="1" t="str">
        <f>IF($A22="","",Anmeldung!$G20)</f>
        <v/>
      </c>
      <c r="H22" s="1" t="str">
        <f>IF($A22="","",Anmeldung!$J20)</f>
        <v/>
      </c>
      <c r="I22" s="1" t="str">
        <f>IF($A22="","",Anmeldung!$I20)</f>
        <v/>
      </c>
      <c r="J22" s="1" t="str">
        <f t="shared" si="1"/>
        <v/>
      </c>
    </row>
    <row r="23" spans="1:10" ht="14.25" customHeight="1" x14ac:dyDescent="0.3">
      <c r="A23" s="1" t="str">
        <f>IF(AND(Anmeldung!$D21&lt;&gt;"",Anmeldung!$K21="Ja"),"Poomsae Einzel","")</f>
        <v/>
      </c>
      <c r="B23" s="1" t="str">
        <f>IF($A23="","",Anmeldung!$G21&amp;" / "&amp;Anmeldung!$J21)</f>
        <v/>
      </c>
      <c r="C23" s="1" t="str">
        <f t="shared" si="0"/>
        <v/>
      </c>
      <c r="D23" s="1" t="str">
        <f t="shared" si="4"/>
        <v/>
      </c>
      <c r="E23" s="1" t="str">
        <f>IF($A23="","",Anmeldung!$E21&amp;" "&amp;Anmeldung!$D21)</f>
        <v/>
      </c>
      <c r="F23" s="1" t="str">
        <f>IF($A23="","",Anmeldung!$B21)</f>
        <v/>
      </c>
      <c r="G23" s="1" t="str">
        <f>IF($A23="","",Anmeldung!$G21)</f>
        <v/>
      </c>
      <c r="H23" s="1" t="str">
        <f>IF($A23="","",Anmeldung!$J21)</f>
        <v/>
      </c>
      <c r="I23" s="1" t="str">
        <f>IF($A23="","",Anmeldung!$I21)</f>
        <v/>
      </c>
      <c r="J23" s="1" t="str">
        <f t="shared" si="1"/>
        <v/>
      </c>
    </row>
    <row r="24" spans="1:10" ht="14.25" customHeight="1" x14ac:dyDescent="0.3">
      <c r="A24" s="1" t="str">
        <f>IF(AND(Anmeldung!$D21&lt;&gt;"",Anmeldung!$L21="Ja",IFERROR(VALUE(LEFT(Anmeldung!$M21,FIND(":",Anmeldung!$M21)-1)),0)&gt;0,Anmeldung!$B21=MIN(Anmeldung!$B21,IFERROR(VALUE(LEFT(Anmeldung!$M21,FIND(":",Anmeldung!$M21)-1)),0))),"Poomsae Paar","")</f>
        <v/>
      </c>
      <c r="B24" s="1" t="str">
        <f>IF($A24="","",Anmeldung!$G21&amp;" / "&amp;Anmeldung!$J21)</f>
        <v/>
      </c>
      <c r="C24" s="1" t="str">
        <f t="shared" si="0"/>
        <v/>
      </c>
      <c r="D24" s="1" t="str">
        <f>IF($A24="","","Paar")</f>
        <v/>
      </c>
      <c r="E24" s="1" t="str">
        <f t="array" ref="E24">IF($A24="","",Anmeldung!$E21&amp;" "&amp;Anmeldung!$D21&amp;" / "&amp;IF(IFERROR(VALUE(LEFT(Anmeldung!$M21,FIND(":",Anmeldung!$M21)-1)),0)=0,"",INDEX(Anmeldung!$E$18:$E$47,IFERROR(VALUE(LEFT(Anmeldung!$M21,FIND(":",Anmeldung!$M21)-1)),0))&amp;" "&amp;INDEX(Anmeldung!$D$18:$D$47,IFERROR(VALUE(LEFT(Anmeldung!$M21,FIND(":",Anmeldung!$M21)-1)),0))))</f>
        <v/>
      </c>
      <c r="F24" s="1" t="str">
        <f>IF($A24="","",Anmeldung!$B21&amp;", "&amp;IFERROR(VALUE(LEFT(Anmeldung!$M21,FIND(":",Anmeldung!$M21)-1)),0))</f>
        <v/>
      </c>
      <c r="G24" s="1" t="str">
        <f>IF($A24="","",Anmeldung!$G21)</f>
        <v/>
      </c>
      <c r="H24" s="1" t="str">
        <f>IF($A24="","",Anmeldung!$J21)</f>
        <v/>
      </c>
      <c r="I24" s="1" t="str">
        <f>IF($A24="","",Anmeldung!$I21)</f>
        <v/>
      </c>
      <c r="J24" s="1" t="str">
        <f t="shared" si="1"/>
        <v/>
      </c>
    </row>
    <row r="25" spans="1:10" ht="14.25" customHeight="1" x14ac:dyDescent="0.3">
      <c r="A25" s="1" t="str">
        <f>IF(AND(Anmeldung!$D21&lt;&gt;"",Anmeldung!$N21="Ja",IFERROR(VALUE(LEFT(Anmeldung!$O21,FIND(":",Anmeldung!$O21)-1)),0)&gt;0,IFERROR(VALUE(LEFT(Anmeldung!$P21,FIND(":",Anmeldung!$P21)-1)),0)&gt;0,Anmeldung!$B21=MIN(Anmeldung!$B21,IFERROR(VALUE(LEFT(Anmeldung!$O21,FIND(":",Anmeldung!$O21)-1)),0),IFERROR(VALUE(LEFT(Anmeldung!$P21,FIND(":",Anmeldung!$P21)-1)),0))),"Poomsae Team","")</f>
        <v/>
      </c>
      <c r="B25" s="1" t="str">
        <f>IF($A25="","",Anmeldung!$G21&amp;" / "&amp;Anmeldung!$J21)</f>
        <v/>
      </c>
      <c r="C25" s="1" t="str">
        <f t="shared" si="0"/>
        <v/>
      </c>
      <c r="D25" s="1" t="str">
        <f>IF($A25="","","Team")</f>
        <v/>
      </c>
      <c r="E25" s="1" t="str">
        <f t="array" ref="E25">IF($A25="","",Anmeldung!$E21&amp;" "&amp;Anmeldung!$D21&amp;" / "&amp;IF(IFERROR(VALUE(LEFT(Anmeldung!$O21,FIND(":",Anmeldung!$O21)-1)),0)=0,"",INDEX(Anmeldung!$E$18:$E$47,IFERROR(VALUE(LEFT(Anmeldung!$O21,FIND(":",Anmeldung!$O21)-1)),0))&amp;" "&amp;INDEX(Anmeldung!$D$18:$D$47,IFERROR(VALUE(LEFT(Anmeldung!$O21,FIND(":",Anmeldung!$O21)-1)),0)))&amp;" / "&amp;IF(IFERROR(VALUE(LEFT(Anmeldung!$P21,FIND(":",Anmeldung!$P21)-1)),0)=0,"",INDEX(Anmeldung!$E$18:$E$47,IFERROR(VALUE(LEFT(Anmeldung!$P21,FIND(":",Anmeldung!$P21)-1)),0))&amp;" "&amp;INDEX(Anmeldung!$D$18:$D$47,IFERROR(VALUE(LEFT(Anmeldung!$P21,FIND(":",Anmeldung!$P21)-1)),0))))</f>
        <v/>
      </c>
      <c r="F25" s="1" t="str">
        <f>IF($A25="","",Anmeldung!$B21&amp;", "&amp;IFERROR(VALUE(LEFT(Anmeldung!$O21,FIND(":",Anmeldung!$O21)-1)),0)&amp;", "&amp;IFERROR(VALUE(LEFT(Anmeldung!$P21,FIND(":",Anmeldung!$P21)-1)),0))</f>
        <v/>
      </c>
      <c r="G25" s="1" t="str">
        <f>IF($A25="","",Anmeldung!$G21)</f>
        <v/>
      </c>
      <c r="H25" s="1" t="str">
        <f>IF($A25="","",Anmeldung!$J21)</f>
        <v/>
      </c>
      <c r="I25" s="1" t="str">
        <f>IF($A25="","",Anmeldung!$I21)</f>
        <v/>
      </c>
      <c r="J25" s="1" t="str">
        <f t="shared" si="1"/>
        <v/>
      </c>
    </row>
    <row r="26" spans="1:10" ht="14.25" customHeight="1" x14ac:dyDescent="0.3">
      <c r="A26" s="1" t="str">
        <f>IF(AND(Anmeldung!$D21&lt;&gt;"",Anmeldung!$Q21="Ja",IFERROR(VALUE(LEFT(Anmeldung!$R21,FIND(":",Anmeldung!$R21)-1)),0)&gt;0,Anmeldung!$B21=MIN(Anmeldung!$B21,IFERROR(VALUE(LEFT(Anmeldung!$R21,FIND(":",Anmeldung!$R21)-1)),0),IF(IFERROR(VALUE(LEFT(Anmeldung!$S21,FIND(":",Anmeldung!$S21)-1)),0)=0,999,IFERROR(VALUE(LEFT(Anmeldung!$S21,FIND(":",Anmeldung!$S21)-1)),0)))),"Poomsae Family","")</f>
        <v/>
      </c>
      <c r="B26" s="1" t="str">
        <f>IF($A26="","","Poomsae Family / "&amp;Anmeldung!$T21)</f>
        <v/>
      </c>
      <c r="C26" s="1" t="str">
        <f t="shared" si="0"/>
        <v/>
      </c>
      <c r="D26" s="1" t="str">
        <f>IF($A26="","","Family")</f>
        <v/>
      </c>
      <c r="E26" s="1" t="str">
        <f t="array" ref="E26">IF($A26="","",Anmeldung!$E21&amp;" "&amp;Anmeldung!$D21&amp;" / "&amp;IF(IFERROR(VALUE(LEFT(Anmeldung!$R21,FIND(":",Anmeldung!$R21)-1)),0)=0,"",INDEX(Anmeldung!$E$18:$E$47,IFERROR(VALUE(LEFT(Anmeldung!$R21,FIND(":",Anmeldung!$R21)-1)),0))&amp;" "&amp;INDEX(Anmeldung!$D$18:$D$47,IFERROR(VALUE(LEFT(Anmeldung!$R21,FIND(":",Anmeldung!$R21)-1)),0)))&amp;IF(IFERROR(VALUE(LEFT(Anmeldung!$S21,FIND(":",Anmeldung!$S21)-1)),0)&gt;0," / "&amp;IF(IFERROR(VALUE(LEFT(Anmeldung!$S21,FIND(":",Anmeldung!$S21)-1)),0)=0,"",INDEX(Anmeldung!$E$18:$E$47,IFERROR(VALUE(LEFT(Anmeldung!$S21,FIND(":",Anmeldung!$S21)-1)),0))&amp;" "&amp;INDEX(Anmeldung!$D$18:$D$47,IFERROR(VALUE(LEFT(Anmeldung!$S21,FIND(":",Anmeldung!$S21)-1)),0))),""))</f>
        <v/>
      </c>
      <c r="F26" s="1" t="str">
        <f>IF($A26="","",Anmeldung!$B21&amp;", "&amp;IFERROR(VALUE(LEFT(Anmeldung!$R21,FIND(":",Anmeldung!$R21)-1)),0)&amp;IF(IFERROR(VALUE(LEFT(Anmeldung!$S21,FIND(":",Anmeldung!$S21)-1)),0)&gt;0,", "&amp;IFERROR(VALUE(LEFT(Anmeldung!$S21,FIND(":",Anmeldung!$S21)-1)),0),""))</f>
        <v/>
      </c>
      <c r="G26" s="1" t="str">
        <f>IF($A26="","","-")</f>
        <v/>
      </c>
      <c r="H26" s="1" t="str">
        <f>IF($A26="","",Anmeldung!$T21)</f>
        <v/>
      </c>
      <c r="I26" s="1" t="str">
        <f>IF($A26="","","niedrigste Graduierung")</f>
        <v/>
      </c>
      <c r="J26" s="1" t="str">
        <f t="shared" si="1"/>
        <v/>
      </c>
    </row>
    <row r="27" spans="1:10" ht="14.25" customHeight="1" x14ac:dyDescent="0.3">
      <c r="A27" s="1" t="str">
        <f>IF(AND(Anmeldung!$D21&lt;&gt;"",Anmeldung!$U21="Ja",IFERROR(VALUE(LEFT(Anmeldung!$V21,FIND(":",Anmeldung!$V21)-1)),0)&gt;0,Anmeldung!$B21=MIN(Anmeldung!$B21,IFERROR(VALUE(LEFT(Anmeldung!$V21,FIND(":",Anmeldung!$V21)-1)),0))),"Einschrittkampf","")</f>
        <v/>
      </c>
      <c r="B27" s="1" t="str">
        <f>IF($A27="","",Anmeldung!$G21&amp;" / "&amp;Anmeldung!$J21)</f>
        <v/>
      </c>
      <c r="C27" s="1" t="str">
        <f t="shared" si="0"/>
        <v/>
      </c>
      <c r="D27" s="1" t="str">
        <f>IF($A27="","","Paar")</f>
        <v/>
      </c>
      <c r="E27" s="1" t="str">
        <f t="array" ref="E27">IF($A27="","",Anmeldung!$E21&amp;" "&amp;Anmeldung!$D21&amp;" / "&amp;IF(IFERROR(VALUE(LEFT(Anmeldung!$V21,FIND(":",Anmeldung!$V21)-1)),0)=0,"",INDEX(Anmeldung!$E$18:$E$47,IFERROR(VALUE(LEFT(Anmeldung!$V21,FIND(":",Anmeldung!$V21)-1)),0))&amp;" "&amp;INDEX(Anmeldung!$D$18:$D$47,IFERROR(VALUE(LEFT(Anmeldung!$V21,FIND(":",Anmeldung!$V21)-1)),0))))</f>
        <v/>
      </c>
      <c r="F27" s="1" t="str">
        <f>IF($A27="","",Anmeldung!$B21&amp;", "&amp;IFERROR(VALUE(LEFT(Anmeldung!$V21,FIND(":",Anmeldung!$V21)-1)),0))</f>
        <v/>
      </c>
      <c r="G27" s="1" t="str">
        <f>IF($A27="","",Anmeldung!$G21)</f>
        <v/>
      </c>
      <c r="H27" s="1" t="str">
        <f>IF($A27="","",Anmeldung!$J21)</f>
        <v/>
      </c>
      <c r="I27" s="1" t="str">
        <f>IF($A27="","",Anmeldung!$I21)</f>
        <v/>
      </c>
      <c r="J27" s="1" t="str">
        <f t="shared" si="1"/>
        <v/>
      </c>
    </row>
    <row r="28" spans="1:10" ht="14.25" customHeight="1" x14ac:dyDescent="0.3">
      <c r="A28" s="1" t="str">
        <f>IF(AND(Anmeldung!$D21&lt;&gt;"",Anmeldung!$W21="Ja"),"Bruchtest","")</f>
        <v/>
      </c>
      <c r="B28" s="1" t="str">
        <f>IF($A28="","",IF(YEAR(Anmeldung!$F21)&gt;=2009,"Bruchtest 16-17 Jahre / JG 2010-2009 / 1,0 cm",IF(YEAR(Anmeldung!$F21)&gt;=1986,"Bruchtest 18-40 Jahre / JG 2008-1986 / 1,5 cm","Bruchtest ab 41 Jahre / JG ab 1985 / 1,0 cm")))</f>
        <v/>
      </c>
      <c r="C28" s="1" t="str">
        <f t="shared" si="0"/>
        <v/>
      </c>
      <c r="D28" s="1" t="str">
        <f t="shared" ref="D28:D30" si="5">IF($A28="","","Einzel")</f>
        <v/>
      </c>
      <c r="E28" s="1" t="str">
        <f>IF($A28="","",Anmeldung!$E21&amp;" "&amp;Anmeldung!$D21)</f>
        <v/>
      </c>
      <c r="F28" s="1" t="str">
        <f>IF($A28="","",Anmeldung!$B21)</f>
        <v/>
      </c>
      <c r="G28" s="1" t="str">
        <f>IF($A28="","",Anmeldung!$G21)</f>
        <v/>
      </c>
      <c r="H28" s="1" t="str">
        <f>IF($A28="","",Anmeldung!$J21)</f>
        <v/>
      </c>
      <c r="I28" s="1" t="str">
        <f>IF($A28="","",Anmeldung!$I21)</f>
        <v/>
      </c>
      <c r="J28" s="1" t="str">
        <f t="shared" si="1"/>
        <v/>
      </c>
    </row>
    <row r="29" spans="1:10" ht="14.25" customHeight="1" x14ac:dyDescent="0.3">
      <c r="A29" s="1" t="str">
        <f>IF(AND(Anmeldung!$D21&lt;&gt;"",Anmeldung!$X21="Ja"),"Speed-Kicking","")</f>
        <v/>
      </c>
      <c r="B29" s="1" t="str">
        <f>IF($A29="","",Anmeldung!$G21)</f>
        <v/>
      </c>
      <c r="C29" s="1" t="str">
        <f t="shared" si="0"/>
        <v/>
      </c>
      <c r="D29" s="1" t="str">
        <f t="shared" si="5"/>
        <v/>
      </c>
      <c r="E29" s="1" t="str">
        <f>IF($A29="","",Anmeldung!$E21&amp;" "&amp;Anmeldung!$D21)</f>
        <v/>
      </c>
      <c r="F29" s="1" t="str">
        <f>IF($A29="","",Anmeldung!$B21)</f>
        <v/>
      </c>
      <c r="G29" s="1" t="str">
        <f>IF($A29="","",Anmeldung!$G21)</f>
        <v/>
      </c>
      <c r="H29" s="1" t="str">
        <f>IF($A29="","",Anmeldung!$J21)</f>
        <v/>
      </c>
      <c r="I29" s="1" t="str">
        <f>IF($A29="","",Anmeldung!$I21)</f>
        <v/>
      </c>
      <c r="J29" s="1" t="str">
        <f t="shared" si="1"/>
        <v/>
      </c>
    </row>
    <row r="30" spans="1:10" ht="14.25" customHeight="1" x14ac:dyDescent="0.3">
      <c r="A30" s="1" t="str">
        <f>IF(AND(Anmeldung!$D22&lt;&gt;"",Anmeldung!$K22="Ja"),"Poomsae Einzel","")</f>
        <v/>
      </c>
      <c r="B30" s="1" t="str">
        <f>IF($A30="","",Anmeldung!$G22&amp;" / "&amp;Anmeldung!$J22)</f>
        <v/>
      </c>
      <c r="C30" s="1" t="str">
        <f t="shared" si="0"/>
        <v/>
      </c>
      <c r="D30" s="1" t="str">
        <f t="shared" si="5"/>
        <v/>
      </c>
      <c r="E30" s="1" t="str">
        <f>IF($A30="","",Anmeldung!$E22&amp;" "&amp;Anmeldung!$D22)</f>
        <v/>
      </c>
      <c r="F30" s="1" t="str">
        <f>IF($A30="","",Anmeldung!$B22)</f>
        <v/>
      </c>
      <c r="G30" s="1" t="str">
        <f>IF($A30="","",Anmeldung!$G22)</f>
        <v/>
      </c>
      <c r="H30" s="1" t="str">
        <f>IF($A30="","",Anmeldung!$J22)</f>
        <v/>
      </c>
      <c r="I30" s="1" t="str">
        <f>IF($A30="","",Anmeldung!$I22)</f>
        <v/>
      </c>
      <c r="J30" s="1" t="str">
        <f t="shared" si="1"/>
        <v/>
      </c>
    </row>
    <row r="31" spans="1:10" ht="14.25" customHeight="1" x14ac:dyDescent="0.3">
      <c r="A31" s="1" t="str">
        <f>IF(AND(Anmeldung!$D22&lt;&gt;"",Anmeldung!$L22="Ja",IFERROR(VALUE(LEFT(Anmeldung!$M22,FIND(":",Anmeldung!$M22)-1)),0)&gt;0,Anmeldung!$B22=MIN(Anmeldung!$B22,IFERROR(VALUE(LEFT(Anmeldung!$M22,FIND(":",Anmeldung!$M22)-1)),0))),"Poomsae Paar","")</f>
        <v/>
      </c>
      <c r="B31" s="1" t="str">
        <f>IF($A31="","",Anmeldung!$G22&amp;" / "&amp;Anmeldung!$J22)</f>
        <v/>
      </c>
      <c r="C31" s="1" t="str">
        <f t="shared" si="0"/>
        <v/>
      </c>
      <c r="D31" s="1" t="str">
        <f>IF($A31="","","Paar")</f>
        <v/>
      </c>
      <c r="E31" s="1" t="str">
        <f t="array" ref="E31">IF($A31="","",Anmeldung!$E22&amp;" "&amp;Anmeldung!$D22&amp;" / "&amp;IF(IFERROR(VALUE(LEFT(Anmeldung!$M22,FIND(":",Anmeldung!$M22)-1)),0)=0,"",INDEX(Anmeldung!$E$18:$E$47,IFERROR(VALUE(LEFT(Anmeldung!$M22,FIND(":",Anmeldung!$M22)-1)),0))&amp;" "&amp;INDEX(Anmeldung!$D$18:$D$47,IFERROR(VALUE(LEFT(Anmeldung!$M22,FIND(":",Anmeldung!$M22)-1)),0))))</f>
        <v/>
      </c>
      <c r="F31" s="1" t="str">
        <f>IF($A31="","",Anmeldung!$B22&amp;", "&amp;IFERROR(VALUE(LEFT(Anmeldung!$M22,FIND(":",Anmeldung!$M22)-1)),0))</f>
        <v/>
      </c>
      <c r="G31" s="1" t="str">
        <f>IF($A31="","",Anmeldung!$G22)</f>
        <v/>
      </c>
      <c r="H31" s="1" t="str">
        <f>IF($A31="","",Anmeldung!$J22)</f>
        <v/>
      </c>
      <c r="I31" s="1" t="str">
        <f>IF($A31="","",Anmeldung!$I22)</f>
        <v/>
      </c>
      <c r="J31" s="1" t="str">
        <f t="shared" si="1"/>
        <v/>
      </c>
    </row>
    <row r="32" spans="1:10" ht="14.25" customHeight="1" x14ac:dyDescent="0.3">
      <c r="A32" s="1" t="str">
        <f>IF(AND(Anmeldung!$D22&lt;&gt;"",Anmeldung!$N22="Ja",IFERROR(VALUE(LEFT(Anmeldung!$O22,FIND(":",Anmeldung!$O22)-1)),0)&gt;0,IFERROR(VALUE(LEFT(Anmeldung!$P22,FIND(":",Anmeldung!$P22)-1)),0)&gt;0,Anmeldung!$B22=MIN(Anmeldung!$B22,IFERROR(VALUE(LEFT(Anmeldung!$O22,FIND(":",Anmeldung!$O22)-1)),0),IFERROR(VALUE(LEFT(Anmeldung!$P22,FIND(":",Anmeldung!$P22)-1)),0))),"Poomsae Team","")</f>
        <v/>
      </c>
      <c r="B32" s="1" t="str">
        <f>IF($A32="","",Anmeldung!$G22&amp;" / "&amp;Anmeldung!$J22)</f>
        <v/>
      </c>
      <c r="C32" s="1" t="str">
        <f t="shared" si="0"/>
        <v/>
      </c>
      <c r="D32" s="1" t="str">
        <f>IF($A32="","","Team")</f>
        <v/>
      </c>
      <c r="E32" s="1" t="str">
        <f t="array" ref="E32">IF($A32="","",Anmeldung!$E22&amp;" "&amp;Anmeldung!$D22&amp;" / "&amp;IF(IFERROR(VALUE(LEFT(Anmeldung!$O22,FIND(":",Anmeldung!$O22)-1)),0)=0,"",INDEX(Anmeldung!$E$18:$E$47,IFERROR(VALUE(LEFT(Anmeldung!$O22,FIND(":",Anmeldung!$O22)-1)),0))&amp;" "&amp;INDEX(Anmeldung!$D$18:$D$47,IFERROR(VALUE(LEFT(Anmeldung!$O22,FIND(":",Anmeldung!$O22)-1)),0)))&amp;" / "&amp;IF(IFERROR(VALUE(LEFT(Anmeldung!$P22,FIND(":",Anmeldung!$P22)-1)),0)=0,"",INDEX(Anmeldung!$E$18:$E$47,IFERROR(VALUE(LEFT(Anmeldung!$P22,FIND(":",Anmeldung!$P22)-1)),0))&amp;" "&amp;INDEX(Anmeldung!$D$18:$D$47,IFERROR(VALUE(LEFT(Anmeldung!$P22,FIND(":",Anmeldung!$P22)-1)),0))))</f>
        <v/>
      </c>
      <c r="F32" s="1" t="str">
        <f>IF($A32="","",Anmeldung!$B22&amp;", "&amp;IFERROR(VALUE(LEFT(Anmeldung!$O22,FIND(":",Anmeldung!$O22)-1)),0)&amp;", "&amp;IFERROR(VALUE(LEFT(Anmeldung!$P22,FIND(":",Anmeldung!$P22)-1)),0))</f>
        <v/>
      </c>
      <c r="G32" s="1" t="str">
        <f>IF($A32="","",Anmeldung!$G22)</f>
        <v/>
      </c>
      <c r="H32" s="1" t="str">
        <f>IF($A32="","",Anmeldung!$J22)</f>
        <v/>
      </c>
      <c r="I32" s="1" t="str">
        <f>IF($A32="","",Anmeldung!$I22)</f>
        <v/>
      </c>
      <c r="J32" s="1" t="str">
        <f t="shared" si="1"/>
        <v/>
      </c>
    </row>
    <row r="33" spans="1:10" ht="14.25" customHeight="1" x14ac:dyDescent="0.3">
      <c r="A33" s="1" t="str">
        <f>IF(AND(Anmeldung!$D22&lt;&gt;"",Anmeldung!$Q22="Ja",IFERROR(VALUE(LEFT(Anmeldung!$R22,FIND(":",Anmeldung!$R22)-1)),0)&gt;0,Anmeldung!$B22=MIN(Anmeldung!$B22,IFERROR(VALUE(LEFT(Anmeldung!$R22,FIND(":",Anmeldung!$R22)-1)),0),IF(IFERROR(VALUE(LEFT(Anmeldung!$S22,FIND(":",Anmeldung!$S22)-1)),0)=0,999,IFERROR(VALUE(LEFT(Anmeldung!$S22,FIND(":",Anmeldung!$S22)-1)),0)))),"Poomsae Family","")</f>
        <v/>
      </c>
      <c r="B33" s="1" t="str">
        <f>IF($A33="","","Poomsae Family / "&amp;Anmeldung!$T22)</f>
        <v/>
      </c>
      <c r="C33" s="1" t="str">
        <f t="shared" si="0"/>
        <v/>
      </c>
      <c r="D33" s="1" t="str">
        <f>IF($A33="","","Family")</f>
        <v/>
      </c>
      <c r="E33" s="1" t="str">
        <f t="array" ref="E33">IF($A33="","",Anmeldung!$E22&amp;" "&amp;Anmeldung!$D22&amp;" / "&amp;IF(IFERROR(VALUE(LEFT(Anmeldung!$R22,FIND(":",Anmeldung!$R22)-1)),0)=0,"",INDEX(Anmeldung!$E$18:$E$47,IFERROR(VALUE(LEFT(Anmeldung!$R22,FIND(":",Anmeldung!$R22)-1)),0))&amp;" "&amp;INDEX(Anmeldung!$D$18:$D$47,IFERROR(VALUE(LEFT(Anmeldung!$R22,FIND(":",Anmeldung!$R22)-1)),0)))&amp;IF(IFERROR(VALUE(LEFT(Anmeldung!$S22,FIND(":",Anmeldung!$S22)-1)),0)&gt;0," / "&amp;IF(IFERROR(VALUE(LEFT(Anmeldung!$S22,FIND(":",Anmeldung!$S22)-1)),0)=0,"",INDEX(Anmeldung!$E$18:$E$47,IFERROR(VALUE(LEFT(Anmeldung!$S22,FIND(":",Anmeldung!$S22)-1)),0))&amp;" "&amp;INDEX(Anmeldung!$D$18:$D$47,IFERROR(VALUE(LEFT(Anmeldung!$S22,FIND(":",Anmeldung!$S22)-1)),0))),""))</f>
        <v/>
      </c>
      <c r="F33" s="1" t="str">
        <f>IF($A33="","",Anmeldung!$B22&amp;", "&amp;IFERROR(VALUE(LEFT(Anmeldung!$R22,FIND(":",Anmeldung!$R22)-1)),0)&amp;IF(IFERROR(VALUE(LEFT(Anmeldung!$S22,FIND(":",Anmeldung!$S22)-1)),0)&gt;0,", "&amp;IFERROR(VALUE(LEFT(Anmeldung!$S22,FIND(":",Anmeldung!$S22)-1)),0),""))</f>
        <v/>
      </c>
      <c r="G33" s="1" t="str">
        <f>IF($A33="","","-")</f>
        <v/>
      </c>
      <c r="H33" s="1" t="str">
        <f>IF($A33="","",Anmeldung!$T22)</f>
        <v/>
      </c>
      <c r="I33" s="1" t="str">
        <f>IF($A33="","","niedrigste Graduierung")</f>
        <v/>
      </c>
      <c r="J33" s="1" t="str">
        <f t="shared" si="1"/>
        <v/>
      </c>
    </row>
    <row r="34" spans="1:10" ht="14.25" customHeight="1" x14ac:dyDescent="0.3">
      <c r="A34" s="1" t="str">
        <f>IF(AND(Anmeldung!$D22&lt;&gt;"",Anmeldung!$U22="Ja",IFERROR(VALUE(LEFT(Anmeldung!$V22,FIND(":",Anmeldung!$V22)-1)),0)&gt;0,Anmeldung!$B22=MIN(Anmeldung!$B22,IFERROR(VALUE(LEFT(Anmeldung!$V22,FIND(":",Anmeldung!$V22)-1)),0))),"Einschrittkampf","")</f>
        <v/>
      </c>
      <c r="B34" s="1" t="str">
        <f>IF($A34="","",Anmeldung!$G22&amp;" / "&amp;Anmeldung!$J22)</f>
        <v/>
      </c>
      <c r="C34" s="1" t="str">
        <f t="shared" si="0"/>
        <v/>
      </c>
      <c r="D34" s="1" t="str">
        <f>IF($A34="","","Paar")</f>
        <v/>
      </c>
      <c r="E34" s="1" t="str">
        <f t="array" ref="E34">IF($A34="","",Anmeldung!$E22&amp;" "&amp;Anmeldung!$D22&amp;" / "&amp;IF(IFERROR(VALUE(LEFT(Anmeldung!$V22,FIND(":",Anmeldung!$V22)-1)),0)=0,"",INDEX(Anmeldung!$E$18:$E$47,IFERROR(VALUE(LEFT(Anmeldung!$V22,FIND(":",Anmeldung!$V22)-1)),0))&amp;" "&amp;INDEX(Anmeldung!$D$18:$D$47,IFERROR(VALUE(LEFT(Anmeldung!$V22,FIND(":",Anmeldung!$V22)-1)),0))))</f>
        <v/>
      </c>
      <c r="F34" s="1" t="str">
        <f>IF($A34="","",Anmeldung!$B22&amp;", "&amp;IFERROR(VALUE(LEFT(Anmeldung!$V22,FIND(":",Anmeldung!$V22)-1)),0))</f>
        <v/>
      </c>
      <c r="G34" s="1" t="str">
        <f>IF($A34="","",Anmeldung!$G22)</f>
        <v/>
      </c>
      <c r="H34" s="1" t="str">
        <f>IF($A34="","",Anmeldung!$J22)</f>
        <v/>
      </c>
      <c r="I34" s="1" t="str">
        <f>IF($A34="","",Anmeldung!$I22)</f>
        <v/>
      </c>
      <c r="J34" s="1" t="str">
        <f t="shared" si="1"/>
        <v/>
      </c>
    </row>
    <row r="35" spans="1:10" ht="14.25" customHeight="1" x14ac:dyDescent="0.3">
      <c r="A35" s="1" t="str">
        <f>IF(AND(Anmeldung!$D22&lt;&gt;"",Anmeldung!$W22="Ja"),"Bruchtest","")</f>
        <v/>
      </c>
      <c r="B35" s="1" t="str">
        <f>IF($A35="","",IF(YEAR(Anmeldung!$F22)&gt;=2009,"Bruchtest 16-17 Jahre / JG 2010-2009 / 1,0 cm",IF(YEAR(Anmeldung!$F22)&gt;=1986,"Bruchtest 18-40 Jahre / JG 2008-1986 / 1,5 cm","Bruchtest ab 41 Jahre / JG ab 1985 / 1,0 cm")))</f>
        <v/>
      </c>
      <c r="C35" s="1" t="str">
        <f t="shared" si="0"/>
        <v/>
      </c>
      <c r="D35" s="1" t="str">
        <f t="shared" ref="D35:D37" si="6">IF($A35="","","Einzel")</f>
        <v/>
      </c>
      <c r="E35" s="1" t="str">
        <f>IF($A35="","",Anmeldung!$E22&amp;" "&amp;Anmeldung!$D22)</f>
        <v/>
      </c>
      <c r="F35" s="1" t="str">
        <f>IF($A35="","",Anmeldung!$B22)</f>
        <v/>
      </c>
      <c r="G35" s="1" t="str">
        <f>IF($A35="","",Anmeldung!$G22)</f>
        <v/>
      </c>
      <c r="H35" s="1" t="str">
        <f>IF($A35="","",Anmeldung!$J22)</f>
        <v/>
      </c>
      <c r="I35" s="1" t="str">
        <f>IF($A35="","",Anmeldung!$I22)</f>
        <v/>
      </c>
      <c r="J35" s="1" t="str">
        <f t="shared" si="1"/>
        <v/>
      </c>
    </row>
    <row r="36" spans="1:10" ht="14.25" customHeight="1" x14ac:dyDescent="0.3">
      <c r="A36" s="1" t="str">
        <f>IF(AND(Anmeldung!$D22&lt;&gt;"",Anmeldung!$X22="Ja"),"Speed-Kicking","")</f>
        <v/>
      </c>
      <c r="B36" s="1" t="str">
        <f>IF($A36="","",Anmeldung!$G22)</f>
        <v/>
      </c>
      <c r="C36" s="1" t="str">
        <f t="shared" si="0"/>
        <v/>
      </c>
      <c r="D36" s="1" t="str">
        <f t="shared" si="6"/>
        <v/>
      </c>
      <c r="E36" s="1" t="str">
        <f>IF($A36="","",Anmeldung!$E22&amp;" "&amp;Anmeldung!$D22)</f>
        <v/>
      </c>
      <c r="F36" s="1" t="str">
        <f>IF($A36="","",Anmeldung!$B22)</f>
        <v/>
      </c>
      <c r="G36" s="1" t="str">
        <f>IF($A36="","",Anmeldung!$G22)</f>
        <v/>
      </c>
      <c r="H36" s="1" t="str">
        <f>IF($A36="","",Anmeldung!$J22)</f>
        <v/>
      </c>
      <c r="I36" s="1" t="str">
        <f>IF($A36="","",Anmeldung!$I22)</f>
        <v/>
      </c>
      <c r="J36" s="1" t="str">
        <f t="shared" si="1"/>
        <v/>
      </c>
    </row>
    <row r="37" spans="1:10" ht="14.25" customHeight="1" x14ac:dyDescent="0.3">
      <c r="A37" s="1" t="str">
        <f>IF(AND(Anmeldung!$D23&lt;&gt;"",Anmeldung!$K23="Ja"),"Poomsae Einzel","")</f>
        <v/>
      </c>
      <c r="B37" s="1" t="str">
        <f>IF($A37="","",Anmeldung!$G23&amp;" / "&amp;Anmeldung!$J23)</f>
        <v/>
      </c>
      <c r="C37" s="1" t="str">
        <f t="shared" si="0"/>
        <v/>
      </c>
      <c r="D37" s="1" t="str">
        <f t="shared" si="6"/>
        <v/>
      </c>
      <c r="E37" s="1" t="str">
        <f>IF($A37="","",Anmeldung!$E23&amp;" "&amp;Anmeldung!$D23)</f>
        <v/>
      </c>
      <c r="F37" s="1" t="str">
        <f>IF($A37="","",Anmeldung!$B23)</f>
        <v/>
      </c>
      <c r="G37" s="1" t="str">
        <f>IF($A37="","",Anmeldung!$G23)</f>
        <v/>
      </c>
      <c r="H37" s="1" t="str">
        <f>IF($A37="","",Anmeldung!$J23)</f>
        <v/>
      </c>
      <c r="I37" s="1" t="str">
        <f>IF($A37="","",Anmeldung!$I23)</f>
        <v/>
      </c>
      <c r="J37" s="1" t="str">
        <f t="shared" si="1"/>
        <v/>
      </c>
    </row>
    <row r="38" spans="1:10" ht="14.25" customHeight="1" x14ac:dyDescent="0.3">
      <c r="A38" s="1" t="str">
        <f>IF(AND(Anmeldung!$D23&lt;&gt;"",Anmeldung!$L23="Ja",IFERROR(VALUE(LEFT(Anmeldung!$M23,FIND(":",Anmeldung!$M23)-1)),0)&gt;0,Anmeldung!$B23=MIN(Anmeldung!$B23,IFERROR(VALUE(LEFT(Anmeldung!$M23,FIND(":",Anmeldung!$M23)-1)),0))),"Poomsae Paar","")</f>
        <v/>
      </c>
      <c r="B38" s="1" t="str">
        <f>IF($A38="","",Anmeldung!$G23&amp;" / "&amp;Anmeldung!$J23)</f>
        <v/>
      </c>
      <c r="C38" s="1" t="str">
        <f t="shared" si="0"/>
        <v/>
      </c>
      <c r="D38" s="1" t="str">
        <f>IF($A38="","","Paar")</f>
        <v/>
      </c>
      <c r="E38" s="1" t="str">
        <f t="array" ref="E38">IF($A38="","",Anmeldung!$E23&amp;" "&amp;Anmeldung!$D23&amp;" / "&amp;IF(IFERROR(VALUE(LEFT(Anmeldung!$M23,FIND(":",Anmeldung!$M23)-1)),0)=0,"",INDEX(Anmeldung!$E$18:$E$47,IFERROR(VALUE(LEFT(Anmeldung!$M23,FIND(":",Anmeldung!$M23)-1)),0))&amp;" "&amp;INDEX(Anmeldung!$D$18:$D$47,IFERROR(VALUE(LEFT(Anmeldung!$M23,FIND(":",Anmeldung!$M23)-1)),0))))</f>
        <v/>
      </c>
      <c r="F38" s="1" t="str">
        <f>IF($A38="","",Anmeldung!$B23&amp;", "&amp;IFERROR(VALUE(LEFT(Anmeldung!$M23,FIND(":",Anmeldung!$M23)-1)),0))</f>
        <v/>
      </c>
      <c r="G38" s="1" t="str">
        <f>IF($A38="","",Anmeldung!$G23)</f>
        <v/>
      </c>
      <c r="H38" s="1" t="str">
        <f>IF($A38="","",Anmeldung!$J23)</f>
        <v/>
      </c>
      <c r="I38" s="1" t="str">
        <f>IF($A38="","",Anmeldung!$I23)</f>
        <v/>
      </c>
      <c r="J38" s="1" t="str">
        <f t="shared" si="1"/>
        <v/>
      </c>
    </row>
    <row r="39" spans="1:10" ht="14.25" customHeight="1" x14ac:dyDescent="0.3">
      <c r="A39" s="1" t="str">
        <f>IF(AND(Anmeldung!$D23&lt;&gt;"",Anmeldung!$N23="Ja",IFERROR(VALUE(LEFT(Anmeldung!$O23,FIND(":",Anmeldung!$O23)-1)),0)&gt;0,IFERROR(VALUE(LEFT(Anmeldung!$P23,FIND(":",Anmeldung!$P23)-1)),0)&gt;0,Anmeldung!$B23=MIN(Anmeldung!$B23,IFERROR(VALUE(LEFT(Anmeldung!$O23,FIND(":",Anmeldung!$O23)-1)),0),IFERROR(VALUE(LEFT(Anmeldung!$P23,FIND(":",Anmeldung!$P23)-1)),0))),"Poomsae Team","")</f>
        <v/>
      </c>
      <c r="B39" s="1" t="str">
        <f>IF($A39="","",Anmeldung!$G23&amp;" / "&amp;Anmeldung!$J23)</f>
        <v/>
      </c>
      <c r="C39" s="1" t="str">
        <f t="shared" si="0"/>
        <v/>
      </c>
      <c r="D39" s="1" t="str">
        <f>IF($A39="","","Team")</f>
        <v/>
      </c>
      <c r="E39" s="1" t="str">
        <f t="array" ref="E39">IF($A39="","",Anmeldung!$E23&amp;" "&amp;Anmeldung!$D23&amp;" / "&amp;IF(IFERROR(VALUE(LEFT(Anmeldung!$O23,FIND(":",Anmeldung!$O23)-1)),0)=0,"",INDEX(Anmeldung!$E$18:$E$47,IFERROR(VALUE(LEFT(Anmeldung!$O23,FIND(":",Anmeldung!$O23)-1)),0))&amp;" "&amp;INDEX(Anmeldung!$D$18:$D$47,IFERROR(VALUE(LEFT(Anmeldung!$O23,FIND(":",Anmeldung!$O23)-1)),0)))&amp;" / "&amp;IF(IFERROR(VALUE(LEFT(Anmeldung!$P23,FIND(":",Anmeldung!$P23)-1)),0)=0,"",INDEX(Anmeldung!$E$18:$E$47,IFERROR(VALUE(LEFT(Anmeldung!$P23,FIND(":",Anmeldung!$P23)-1)),0))&amp;" "&amp;INDEX(Anmeldung!$D$18:$D$47,IFERROR(VALUE(LEFT(Anmeldung!$P23,FIND(":",Anmeldung!$P23)-1)),0))))</f>
        <v/>
      </c>
      <c r="F39" s="1" t="str">
        <f>IF($A39="","",Anmeldung!$B23&amp;", "&amp;IFERROR(VALUE(LEFT(Anmeldung!$O23,FIND(":",Anmeldung!$O23)-1)),0)&amp;", "&amp;IFERROR(VALUE(LEFT(Anmeldung!$P23,FIND(":",Anmeldung!$P23)-1)),0))</f>
        <v/>
      </c>
      <c r="G39" s="1" t="str">
        <f>IF($A39="","",Anmeldung!$G23)</f>
        <v/>
      </c>
      <c r="H39" s="1" t="str">
        <f>IF($A39="","",Anmeldung!$J23)</f>
        <v/>
      </c>
      <c r="I39" s="1" t="str">
        <f>IF($A39="","",Anmeldung!$I23)</f>
        <v/>
      </c>
      <c r="J39" s="1" t="str">
        <f t="shared" si="1"/>
        <v/>
      </c>
    </row>
    <row r="40" spans="1:10" ht="14.25" customHeight="1" x14ac:dyDescent="0.3">
      <c r="A40" s="1" t="str">
        <f>IF(AND(Anmeldung!$D23&lt;&gt;"",Anmeldung!$Q23="Ja",IFERROR(VALUE(LEFT(Anmeldung!$R23,FIND(":",Anmeldung!$R23)-1)),0)&gt;0,Anmeldung!$B23=MIN(Anmeldung!$B23,IFERROR(VALUE(LEFT(Anmeldung!$R23,FIND(":",Anmeldung!$R23)-1)),0),IF(IFERROR(VALUE(LEFT(Anmeldung!$S23,FIND(":",Anmeldung!$S23)-1)),0)=0,999,IFERROR(VALUE(LEFT(Anmeldung!$S23,FIND(":",Anmeldung!$S23)-1)),0)))),"Poomsae Family","")</f>
        <v/>
      </c>
      <c r="B40" s="1" t="str">
        <f>IF($A40="","","Poomsae Family / "&amp;Anmeldung!$T23)</f>
        <v/>
      </c>
      <c r="C40" s="1" t="str">
        <f t="shared" si="0"/>
        <v/>
      </c>
      <c r="D40" s="1" t="str">
        <f>IF($A40="","","Family")</f>
        <v/>
      </c>
      <c r="E40" s="1" t="str">
        <f t="array" ref="E40">IF($A40="","",Anmeldung!$E23&amp;" "&amp;Anmeldung!$D23&amp;" / "&amp;IF(IFERROR(VALUE(LEFT(Anmeldung!$R23,FIND(":",Anmeldung!$R23)-1)),0)=0,"",INDEX(Anmeldung!$E$18:$E$47,IFERROR(VALUE(LEFT(Anmeldung!$R23,FIND(":",Anmeldung!$R23)-1)),0))&amp;" "&amp;INDEX(Anmeldung!$D$18:$D$47,IFERROR(VALUE(LEFT(Anmeldung!$R23,FIND(":",Anmeldung!$R23)-1)),0)))&amp;IF(IFERROR(VALUE(LEFT(Anmeldung!$S23,FIND(":",Anmeldung!$S23)-1)),0)&gt;0," / "&amp;IF(IFERROR(VALUE(LEFT(Anmeldung!$S23,FIND(":",Anmeldung!$S23)-1)),0)=0,"",INDEX(Anmeldung!$E$18:$E$47,IFERROR(VALUE(LEFT(Anmeldung!$S23,FIND(":",Anmeldung!$S23)-1)),0))&amp;" "&amp;INDEX(Anmeldung!$D$18:$D$47,IFERROR(VALUE(LEFT(Anmeldung!$S23,FIND(":",Anmeldung!$S23)-1)),0))),""))</f>
        <v/>
      </c>
      <c r="F40" s="1" t="str">
        <f>IF($A40="","",Anmeldung!$B23&amp;", "&amp;IFERROR(VALUE(LEFT(Anmeldung!$R23,FIND(":",Anmeldung!$R23)-1)),0)&amp;IF(IFERROR(VALUE(LEFT(Anmeldung!$S23,FIND(":",Anmeldung!$S23)-1)),0)&gt;0,", "&amp;IFERROR(VALUE(LEFT(Anmeldung!$S23,FIND(":",Anmeldung!$S23)-1)),0),""))</f>
        <v/>
      </c>
      <c r="G40" s="1" t="str">
        <f>IF($A40="","","-")</f>
        <v/>
      </c>
      <c r="H40" s="1" t="str">
        <f>IF($A40="","",Anmeldung!$T23)</f>
        <v/>
      </c>
      <c r="I40" s="1" t="str">
        <f>IF($A40="","","niedrigste Graduierung")</f>
        <v/>
      </c>
      <c r="J40" s="1" t="str">
        <f t="shared" si="1"/>
        <v/>
      </c>
    </row>
    <row r="41" spans="1:10" ht="14.25" customHeight="1" x14ac:dyDescent="0.3">
      <c r="A41" s="1" t="str">
        <f>IF(AND(Anmeldung!$D23&lt;&gt;"",Anmeldung!$U23="Ja",IFERROR(VALUE(LEFT(Anmeldung!$V23,FIND(":",Anmeldung!$V23)-1)),0)&gt;0,Anmeldung!$B23=MIN(Anmeldung!$B23,IFERROR(VALUE(LEFT(Anmeldung!$V23,FIND(":",Anmeldung!$V23)-1)),0))),"Einschrittkampf","")</f>
        <v/>
      </c>
      <c r="B41" s="1" t="str">
        <f>IF($A41="","",Anmeldung!$G23&amp;" / "&amp;Anmeldung!$J23)</f>
        <v/>
      </c>
      <c r="C41" s="1" t="str">
        <f t="shared" si="0"/>
        <v/>
      </c>
      <c r="D41" s="1" t="str">
        <f>IF($A41="","","Paar")</f>
        <v/>
      </c>
      <c r="E41" s="1" t="str">
        <f t="array" ref="E41">IF($A41="","",Anmeldung!$E23&amp;" "&amp;Anmeldung!$D23&amp;" / "&amp;IF(IFERROR(VALUE(LEFT(Anmeldung!$V23,FIND(":",Anmeldung!$V23)-1)),0)=0,"",INDEX(Anmeldung!$E$18:$E$47,IFERROR(VALUE(LEFT(Anmeldung!$V23,FIND(":",Anmeldung!$V23)-1)),0))&amp;" "&amp;INDEX(Anmeldung!$D$18:$D$47,IFERROR(VALUE(LEFT(Anmeldung!$V23,FIND(":",Anmeldung!$V23)-1)),0))))</f>
        <v/>
      </c>
      <c r="F41" s="1" t="str">
        <f>IF($A41="","",Anmeldung!$B23&amp;", "&amp;IFERROR(VALUE(LEFT(Anmeldung!$V23,FIND(":",Anmeldung!$V23)-1)),0))</f>
        <v/>
      </c>
      <c r="G41" s="1" t="str">
        <f>IF($A41="","",Anmeldung!$G23)</f>
        <v/>
      </c>
      <c r="H41" s="1" t="str">
        <f>IF($A41="","",Anmeldung!$J23)</f>
        <v/>
      </c>
      <c r="I41" s="1" t="str">
        <f>IF($A41="","",Anmeldung!$I23)</f>
        <v/>
      </c>
      <c r="J41" s="1" t="str">
        <f t="shared" si="1"/>
        <v/>
      </c>
    </row>
    <row r="42" spans="1:10" ht="14.25" customHeight="1" x14ac:dyDescent="0.3">
      <c r="A42" s="1" t="str">
        <f>IF(AND(Anmeldung!$D23&lt;&gt;"",Anmeldung!$W23="Ja"),"Bruchtest","")</f>
        <v/>
      </c>
      <c r="B42" s="1" t="str">
        <f>IF($A42="","",IF(YEAR(Anmeldung!$F23)&gt;=2009,"Bruchtest 16-17 Jahre / JG 2010-2009 / 1,0 cm",IF(YEAR(Anmeldung!$F23)&gt;=1986,"Bruchtest 18-40 Jahre / JG 2008-1986 / 1,5 cm","Bruchtest ab 41 Jahre / JG ab 1985 / 1,0 cm")))</f>
        <v/>
      </c>
      <c r="C42" s="1" t="str">
        <f t="shared" si="0"/>
        <v/>
      </c>
      <c r="D42" s="1" t="str">
        <f t="shared" ref="D42:D44" si="7">IF($A42="","","Einzel")</f>
        <v/>
      </c>
      <c r="E42" s="1" t="str">
        <f>IF($A42="","",Anmeldung!$E23&amp;" "&amp;Anmeldung!$D23)</f>
        <v/>
      </c>
      <c r="F42" s="1" t="str">
        <f>IF($A42="","",Anmeldung!$B23)</f>
        <v/>
      </c>
      <c r="G42" s="1" t="str">
        <f>IF($A42="","",Anmeldung!$G23)</f>
        <v/>
      </c>
      <c r="H42" s="1" t="str">
        <f>IF($A42="","",Anmeldung!$J23)</f>
        <v/>
      </c>
      <c r="I42" s="1" t="str">
        <f>IF($A42="","",Anmeldung!$I23)</f>
        <v/>
      </c>
      <c r="J42" s="1" t="str">
        <f t="shared" si="1"/>
        <v/>
      </c>
    </row>
    <row r="43" spans="1:10" ht="14.25" customHeight="1" x14ac:dyDescent="0.3">
      <c r="A43" s="1" t="str">
        <f>IF(AND(Anmeldung!$D23&lt;&gt;"",Anmeldung!$X23="Ja"),"Speed-Kicking","")</f>
        <v/>
      </c>
      <c r="B43" s="1" t="str">
        <f>IF($A43="","",Anmeldung!$G23)</f>
        <v/>
      </c>
      <c r="C43" s="1" t="str">
        <f t="shared" si="0"/>
        <v/>
      </c>
      <c r="D43" s="1" t="str">
        <f t="shared" si="7"/>
        <v/>
      </c>
      <c r="E43" s="1" t="str">
        <f>IF($A43="","",Anmeldung!$E23&amp;" "&amp;Anmeldung!$D23)</f>
        <v/>
      </c>
      <c r="F43" s="1" t="str">
        <f>IF($A43="","",Anmeldung!$B23)</f>
        <v/>
      </c>
      <c r="G43" s="1" t="str">
        <f>IF($A43="","",Anmeldung!$G23)</f>
        <v/>
      </c>
      <c r="H43" s="1" t="str">
        <f>IF($A43="","",Anmeldung!$J23)</f>
        <v/>
      </c>
      <c r="I43" s="1" t="str">
        <f>IF($A43="","",Anmeldung!$I23)</f>
        <v/>
      </c>
      <c r="J43" s="1" t="str">
        <f t="shared" si="1"/>
        <v/>
      </c>
    </row>
    <row r="44" spans="1:10" ht="14.25" customHeight="1" x14ac:dyDescent="0.3">
      <c r="A44" s="1" t="str">
        <f>IF(AND(Anmeldung!$D24&lt;&gt;"",Anmeldung!$K24="Ja"),"Poomsae Einzel","")</f>
        <v/>
      </c>
      <c r="B44" s="1" t="str">
        <f>IF($A44="","",Anmeldung!$G24&amp;" / "&amp;Anmeldung!$J24)</f>
        <v/>
      </c>
      <c r="C44" s="1" t="str">
        <f t="shared" si="0"/>
        <v/>
      </c>
      <c r="D44" s="1" t="str">
        <f t="shared" si="7"/>
        <v/>
      </c>
      <c r="E44" s="1" t="str">
        <f>IF($A44="","",Anmeldung!$E24&amp;" "&amp;Anmeldung!$D24)</f>
        <v/>
      </c>
      <c r="F44" s="1" t="str">
        <f>IF($A44="","",Anmeldung!$B24)</f>
        <v/>
      </c>
      <c r="G44" s="1" t="str">
        <f>IF($A44="","",Anmeldung!$G24)</f>
        <v/>
      </c>
      <c r="H44" s="1" t="str">
        <f>IF($A44="","",Anmeldung!$J24)</f>
        <v/>
      </c>
      <c r="I44" s="1" t="str">
        <f>IF($A44="","",Anmeldung!$I24)</f>
        <v/>
      </c>
      <c r="J44" s="1" t="str">
        <f t="shared" si="1"/>
        <v/>
      </c>
    </row>
    <row r="45" spans="1:10" ht="14.25" customHeight="1" x14ac:dyDescent="0.3">
      <c r="A45" s="1" t="str">
        <f>IF(AND(Anmeldung!$D24&lt;&gt;"",Anmeldung!$L24="Ja",IFERROR(VALUE(LEFT(Anmeldung!$M24,FIND(":",Anmeldung!$M24)-1)),0)&gt;0,Anmeldung!$B24=MIN(Anmeldung!$B24,IFERROR(VALUE(LEFT(Anmeldung!$M24,FIND(":",Anmeldung!$M24)-1)),0))),"Poomsae Paar","")</f>
        <v/>
      </c>
      <c r="B45" s="1" t="str">
        <f>IF($A45="","",Anmeldung!$G24&amp;" / "&amp;Anmeldung!$J24)</f>
        <v/>
      </c>
      <c r="C45" s="1" t="str">
        <f t="shared" si="0"/>
        <v/>
      </c>
      <c r="D45" s="1" t="str">
        <f>IF($A45="","","Paar")</f>
        <v/>
      </c>
      <c r="E45" s="1" t="str">
        <f t="array" ref="E45">IF($A45="","",Anmeldung!$E24&amp;" "&amp;Anmeldung!$D24&amp;" / "&amp;IF(IFERROR(VALUE(LEFT(Anmeldung!$M24,FIND(":",Anmeldung!$M24)-1)),0)=0,"",INDEX(Anmeldung!$E$18:$E$47,IFERROR(VALUE(LEFT(Anmeldung!$M24,FIND(":",Anmeldung!$M24)-1)),0))&amp;" "&amp;INDEX(Anmeldung!$D$18:$D$47,IFERROR(VALUE(LEFT(Anmeldung!$M24,FIND(":",Anmeldung!$M24)-1)),0))))</f>
        <v/>
      </c>
      <c r="F45" s="1" t="str">
        <f>IF($A45="","",Anmeldung!$B24&amp;", "&amp;IFERROR(VALUE(LEFT(Anmeldung!$M24,FIND(":",Anmeldung!$M24)-1)),0))</f>
        <v/>
      </c>
      <c r="G45" s="1" t="str">
        <f>IF($A45="","",Anmeldung!$G24)</f>
        <v/>
      </c>
      <c r="H45" s="1" t="str">
        <f>IF($A45="","",Anmeldung!$J24)</f>
        <v/>
      </c>
      <c r="I45" s="1" t="str">
        <f>IF($A45="","",Anmeldung!$I24)</f>
        <v/>
      </c>
      <c r="J45" s="1" t="str">
        <f t="shared" si="1"/>
        <v/>
      </c>
    </row>
    <row r="46" spans="1:10" ht="14.25" customHeight="1" x14ac:dyDescent="0.3">
      <c r="A46" s="1" t="str">
        <f>IF(AND(Anmeldung!$D24&lt;&gt;"",Anmeldung!$N24="Ja",IFERROR(VALUE(LEFT(Anmeldung!$O24,FIND(":",Anmeldung!$O24)-1)),0)&gt;0,IFERROR(VALUE(LEFT(Anmeldung!$P24,FIND(":",Anmeldung!$P24)-1)),0)&gt;0,Anmeldung!$B24=MIN(Anmeldung!$B24,IFERROR(VALUE(LEFT(Anmeldung!$O24,FIND(":",Anmeldung!$O24)-1)),0),IFERROR(VALUE(LEFT(Anmeldung!$P24,FIND(":",Anmeldung!$P24)-1)),0))),"Poomsae Team","")</f>
        <v/>
      </c>
      <c r="B46" s="1" t="str">
        <f>IF($A46="","",Anmeldung!$G24&amp;" / "&amp;Anmeldung!$J24)</f>
        <v/>
      </c>
      <c r="C46" s="1" t="str">
        <f t="shared" si="0"/>
        <v/>
      </c>
      <c r="D46" s="1" t="str">
        <f>IF($A46="","","Team")</f>
        <v/>
      </c>
      <c r="E46" s="1" t="str">
        <f t="array" ref="E46">IF($A46="","",Anmeldung!$E24&amp;" "&amp;Anmeldung!$D24&amp;" / "&amp;IF(IFERROR(VALUE(LEFT(Anmeldung!$O24,FIND(":",Anmeldung!$O24)-1)),0)=0,"",INDEX(Anmeldung!$E$18:$E$47,IFERROR(VALUE(LEFT(Anmeldung!$O24,FIND(":",Anmeldung!$O24)-1)),0))&amp;" "&amp;INDEX(Anmeldung!$D$18:$D$47,IFERROR(VALUE(LEFT(Anmeldung!$O24,FIND(":",Anmeldung!$O24)-1)),0)))&amp;" / "&amp;IF(IFERROR(VALUE(LEFT(Anmeldung!$P24,FIND(":",Anmeldung!$P24)-1)),0)=0,"",INDEX(Anmeldung!$E$18:$E$47,IFERROR(VALUE(LEFT(Anmeldung!$P24,FIND(":",Anmeldung!$P24)-1)),0))&amp;" "&amp;INDEX(Anmeldung!$D$18:$D$47,IFERROR(VALUE(LEFT(Anmeldung!$P24,FIND(":",Anmeldung!$P24)-1)),0))))</f>
        <v/>
      </c>
      <c r="F46" s="1" t="str">
        <f>IF($A46="","",Anmeldung!$B24&amp;", "&amp;IFERROR(VALUE(LEFT(Anmeldung!$O24,FIND(":",Anmeldung!$O24)-1)),0)&amp;", "&amp;IFERROR(VALUE(LEFT(Anmeldung!$P24,FIND(":",Anmeldung!$P24)-1)),0))</f>
        <v/>
      </c>
      <c r="G46" s="1" t="str">
        <f>IF($A46="","",Anmeldung!$G24)</f>
        <v/>
      </c>
      <c r="H46" s="1" t="str">
        <f>IF($A46="","",Anmeldung!$J24)</f>
        <v/>
      </c>
      <c r="I46" s="1" t="str">
        <f>IF($A46="","",Anmeldung!$I24)</f>
        <v/>
      </c>
      <c r="J46" s="1" t="str">
        <f t="shared" si="1"/>
        <v/>
      </c>
    </row>
    <row r="47" spans="1:10" ht="14.25" customHeight="1" x14ac:dyDescent="0.3">
      <c r="A47" s="1" t="str">
        <f>IF(AND(Anmeldung!$D24&lt;&gt;"",Anmeldung!$Q24="Ja",IFERROR(VALUE(LEFT(Anmeldung!$R24,FIND(":",Anmeldung!$R24)-1)),0)&gt;0,Anmeldung!$B24=MIN(Anmeldung!$B24,IFERROR(VALUE(LEFT(Anmeldung!$R24,FIND(":",Anmeldung!$R24)-1)),0),IF(IFERROR(VALUE(LEFT(Anmeldung!$S24,FIND(":",Anmeldung!$S24)-1)),0)=0,999,IFERROR(VALUE(LEFT(Anmeldung!$S24,FIND(":",Anmeldung!$S24)-1)),0)))),"Poomsae Family","")</f>
        <v/>
      </c>
      <c r="B47" s="1" t="str">
        <f>IF($A47="","","Poomsae Family / "&amp;Anmeldung!$T24)</f>
        <v/>
      </c>
      <c r="C47" s="1" t="str">
        <f t="shared" si="0"/>
        <v/>
      </c>
      <c r="D47" s="1" t="str">
        <f>IF($A47="","","Family")</f>
        <v/>
      </c>
      <c r="E47" s="1" t="str">
        <f t="array" ref="E47">IF($A47="","",Anmeldung!$E24&amp;" "&amp;Anmeldung!$D24&amp;" / "&amp;IF(IFERROR(VALUE(LEFT(Anmeldung!$R24,FIND(":",Anmeldung!$R24)-1)),0)=0,"",INDEX(Anmeldung!$E$18:$E$47,IFERROR(VALUE(LEFT(Anmeldung!$R24,FIND(":",Anmeldung!$R24)-1)),0))&amp;" "&amp;INDEX(Anmeldung!$D$18:$D$47,IFERROR(VALUE(LEFT(Anmeldung!$R24,FIND(":",Anmeldung!$R24)-1)),0)))&amp;IF(IFERROR(VALUE(LEFT(Anmeldung!$S24,FIND(":",Anmeldung!$S24)-1)),0)&gt;0," / "&amp;IF(IFERROR(VALUE(LEFT(Anmeldung!$S24,FIND(":",Anmeldung!$S24)-1)),0)=0,"",INDEX(Anmeldung!$E$18:$E$47,IFERROR(VALUE(LEFT(Anmeldung!$S24,FIND(":",Anmeldung!$S24)-1)),0))&amp;" "&amp;INDEX(Anmeldung!$D$18:$D$47,IFERROR(VALUE(LEFT(Anmeldung!$S24,FIND(":",Anmeldung!$S24)-1)),0))),""))</f>
        <v/>
      </c>
      <c r="F47" s="1" t="str">
        <f>IF($A47="","",Anmeldung!$B24&amp;", "&amp;IFERROR(VALUE(LEFT(Anmeldung!$R24,FIND(":",Anmeldung!$R24)-1)),0)&amp;IF(IFERROR(VALUE(LEFT(Anmeldung!$S24,FIND(":",Anmeldung!$S24)-1)),0)&gt;0,", "&amp;IFERROR(VALUE(LEFT(Anmeldung!$S24,FIND(":",Anmeldung!$S24)-1)),0),""))</f>
        <v/>
      </c>
      <c r="G47" s="1" t="str">
        <f>IF($A47="","","-")</f>
        <v/>
      </c>
      <c r="H47" s="1" t="str">
        <f>IF($A47="","",Anmeldung!$T24)</f>
        <v/>
      </c>
      <c r="I47" s="1" t="str">
        <f>IF($A47="","","niedrigste Graduierung")</f>
        <v/>
      </c>
      <c r="J47" s="1" t="str">
        <f t="shared" si="1"/>
        <v/>
      </c>
    </row>
    <row r="48" spans="1:10" ht="14.25" customHeight="1" x14ac:dyDescent="0.3">
      <c r="A48" s="1" t="str">
        <f>IF(AND(Anmeldung!$D24&lt;&gt;"",Anmeldung!$U24="Ja",IFERROR(VALUE(LEFT(Anmeldung!$V24,FIND(":",Anmeldung!$V24)-1)),0)&gt;0,Anmeldung!$B24=MIN(Anmeldung!$B24,IFERROR(VALUE(LEFT(Anmeldung!$V24,FIND(":",Anmeldung!$V24)-1)),0))),"Einschrittkampf","")</f>
        <v/>
      </c>
      <c r="B48" s="1" t="str">
        <f>IF($A48="","",Anmeldung!$G24&amp;" / "&amp;Anmeldung!$J24)</f>
        <v/>
      </c>
      <c r="C48" s="1" t="str">
        <f t="shared" si="0"/>
        <v/>
      </c>
      <c r="D48" s="1" t="str">
        <f>IF($A48="","","Paar")</f>
        <v/>
      </c>
      <c r="E48" s="1" t="str">
        <f t="array" ref="E48">IF($A48="","",Anmeldung!$E24&amp;" "&amp;Anmeldung!$D24&amp;" / "&amp;IF(IFERROR(VALUE(LEFT(Anmeldung!$V24,FIND(":",Anmeldung!$V24)-1)),0)=0,"",INDEX(Anmeldung!$E$18:$E$47,IFERROR(VALUE(LEFT(Anmeldung!$V24,FIND(":",Anmeldung!$V24)-1)),0))&amp;" "&amp;INDEX(Anmeldung!$D$18:$D$47,IFERROR(VALUE(LEFT(Anmeldung!$V24,FIND(":",Anmeldung!$V24)-1)),0))))</f>
        <v/>
      </c>
      <c r="F48" s="1" t="str">
        <f>IF($A48="","",Anmeldung!$B24&amp;", "&amp;IFERROR(VALUE(LEFT(Anmeldung!$V24,FIND(":",Anmeldung!$V24)-1)),0))</f>
        <v/>
      </c>
      <c r="G48" s="1" t="str">
        <f>IF($A48="","",Anmeldung!$G24)</f>
        <v/>
      </c>
      <c r="H48" s="1" t="str">
        <f>IF($A48="","",Anmeldung!$J24)</f>
        <v/>
      </c>
      <c r="I48" s="1" t="str">
        <f>IF($A48="","",Anmeldung!$I24)</f>
        <v/>
      </c>
      <c r="J48" s="1" t="str">
        <f t="shared" si="1"/>
        <v/>
      </c>
    </row>
    <row r="49" spans="1:10" ht="14.25" customHeight="1" x14ac:dyDescent="0.3">
      <c r="A49" s="1" t="str">
        <f>IF(AND(Anmeldung!$D24&lt;&gt;"",Anmeldung!$W24="Ja"),"Bruchtest","")</f>
        <v/>
      </c>
      <c r="B49" s="1" t="str">
        <f>IF($A49="","",IF(YEAR(Anmeldung!$F24)&gt;=2009,"Bruchtest 16-17 Jahre / JG 2010-2009 / 1,0 cm",IF(YEAR(Anmeldung!$F24)&gt;=1986,"Bruchtest 18-40 Jahre / JG 2008-1986 / 1,5 cm","Bruchtest ab 41 Jahre / JG ab 1985 / 1,0 cm")))</f>
        <v/>
      </c>
      <c r="C49" s="1" t="str">
        <f t="shared" si="0"/>
        <v/>
      </c>
      <c r="D49" s="1" t="str">
        <f t="shared" ref="D49:D51" si="8">IF($A49="","","Einzel")</f>
        <v/>
      </c>
      <c r="E49" s="1" t="str">
        <f>IF($A49="","",Anmeldung!$E24&amp;" "&amp;Anmeldung!$D24)</f>
        <v/>
      </c>
      <c r="F49" s="1" t="str">
        <f>IF($A49="","",Anmeldung!$B24)</f>
        <v/>
      </c>
      <c r="G49" s="1" t="str">
        <f>IF($A49="","",Anmeldung!$G24)</f>
        <v/>
      </c>
      <c r="H49" s="1" t="str">
        <f>IF($A49="","",Anmeldung!$J24)</f>
        <v/>
      </c>
      <c r="I49" s="1" t="str">
        <f>IF($A49="","",Anmeldung!$I24)</f>
        <v/>
      </c>
      <c r="J49" s="1" t="str">
        <f t="shared" si="1"/>
        <v/>
      </c>
    </row>
    <row r="50" spans="1:10" ht="14.25" customHeight="1" x14ac:dyDescent="0.3">
      <c r="A50" s="1" t="str">
        <f>IF(AND(Anmeldung!$D24&lt;&gt;"",Anmeldung!$X24="Ja"),"Speed-Kicking","")</f>
        <v/>
      </c>
      <c r="B50" s="1" t="str">
        <f>IF($A50="","",Anmeldung!$G24)</f>
        <v/>
      </c>
      <c r="C50" s="1" t="str">
        <f t="shared" si="0"/>
        <v/>
      </c>
      <c r="D50" s="1" t="str">
        <f t="shared" si="8"/>
        <v/>
      </c>
      <c r="E50" s="1" t="str">
        <f>IF($A50="","",Anmeldung!$E24&amp;" "&amp;Anmeldung!$D24)</f>
        <v/>
      </c>
      <c r="F50" s="1" t="str">
        <f>IF($A50="","",Anmeldung!$B24)</f>
        <v/>
      </c>
      <c r="G50" s="1" t="str">
        <f>IF($A50="","",Anmeldung!$G24)</f>
        <v/>
      </c>
      <c r="H50" s="1" t="str">
        <f>IF($A50="","",Anmeldung!$J24)</f>
        <v/>
      </c>
      <c r="I50" s="1" t="str">
        <f>IF($A50="","",Anmeldung!$I24)</f>
        <v/>
      </c>
      <c r="J50" s="1" t="str">
        <f t="shared" si="1"/>
        <v/>
      </c>
    </row>
    <row r="51" spans="1:10" ht="14.25" customHeight="1" x14ac:dyDescent="0.3">
      <c r="A51" s="1" t="str">
        <f>IF(AND(Anmeldung!$D25&lt;&gt;"",Anmeldung!$K25="Ja"),"Poomsae Einzel","")</f>
        <v/>
      </c>
      <c r="B51" s="1" t="str">
        <f>IF($A51="","",Anmeldung!$G25&amp;" / "&amp;Anmeldung!$J25)</f>
        <v/>
      </c>
      <c r="C51" s="1" t="str">
        <f t="shared" si="0"/>
        <v/>
      </c>
      <c r="D51" s="1" t="str">
        <f t="shared" si="8"/>
        <v/>
      </c>
      <c r="E51" s="1" t="str">
        <f>IF($A51="","",Anmeldung!$E25&amp;" "&amp;Anmeldung!$D25)</f>
        <v/>
      </c>
      <c r="F51" s="1" t="str">
        <f>IF($A51="","",Anmeldung!$B25)</f>
        <v/>
      </c>
      <c r="G51" s="1" t="str">
        <f>IF($A51="","",Anmeldung!$G25)</f>
        <v/>
      </c>
      <c r="H51" s="1" t="str">
        <f>IF($A51="","",Anmeldung!$J25)</f>
        <v/>
      </c>
      <c r="I51" s="1" t="str">
        <f>IF($A51="","",Anmeldung!$I25)</f>
        <v/>
      </c>
      <c r="J51" s="1" t="str">
        <f t="shared" si="1"/>
        <v/>
      </c>
    </row>
    <row r="52" spans="1:10" ht="14.25" customHeight="1" x14ac:dyDescent="0.3">
      <c r="A52" s="1" t="str">
        <f>IF(AND(Anmeldung!$D25&lt;&gt;"",Anmeldung!$L25="Ja",IFERROR(VALUE(LEFT(Anmeldung!$M25,FIND(":",Anmeldung!$M25)-1)),0)&gt;0,Anmeldung!$B25=MIN(Anmeldung!$B25,IFERROR(VALUE(LEFT(Anmeldung!$M25,FIND(":",Anmeldung!$M25)-1)),0))),"Poomsae Paar","")</f>
        <v/>
      </c>
      <c r="B52" s="1" t="str">
        <f>IF($A52="","",Anmeldung!$G25&amp;" / "&amp;Anmeldung!$J25)</f>
        <v/>
      </c>
      <c r="C52" s="1" t="str">
        <f t="shared" si="0"/>
        <v/>
      </c>
      <c r="D52" s="1" t="str">
        <f>IF($A52="","","Paar")</f>
        <v/>
      </c>
      <c r="E52" s="1" t="str">
        <f t="array" ref="E52">IF($A52="","",Anmeldung!$E25&amp;" "&amp;Anmeldung!$D25&amp;" / "&amp;IF(IFERROR(VALUE(LEFT(Anmeldung!$M25,FIND(":",Anmeldung!$M25)-1)),0)=0,"",INDEX(Anmeldung!$E$18:$E$47,IFERROR(VALUE(LEFT(Anmeldung!$M25,FIND(":",Anmeldung!$M25)-1)),0))&amp;" "&amp;INDEX(Anmeldung!$D$18:$D$47,IFERROR(VALUE(LEFT(Anmeldung!$M25,FIND(":",Anmeldung!$M25)-1)),0))))</f>
        <v/>
      </c>
      <c r="F52" s="1" t="str">
        <f>IF($A52="","",Anmeldung!$B25&amp;", "&amp;IFERROR(VALUE(LEFT(Anmeldung!$M25,FIND(":",Anmeldung!$M25)-1)),0))</f>
        <v/>
      </c>
      <c r="G52" s="1" t="str">
        <f>IF($A52="","",Anmeldung!$G25)</f>
        <v/>
      </c>
      <c r="H52" s="1" t="str">
        <f>IF($A52="","",Anmeldung!$J25)</f>
        <v/>
      </c>
      <c r="I52" s="1" t="str">
        <f>IF($A52="","",Anmeldung!$I25)</f>
        <v/>
      </c>
      <c r="J52" s="1" t="str">
        <f t="shared" si="1"/>
        <v/>
      </c>
    </row>
    <row r="53" spans="1:10" ht="14.25" customHeight="1" x14ac:dyDescent="0.3">
      <c r="A53" s="1" t="str">
        <f>IF(AND(Anmeldung!$D25&lt;&gt;"",Anmeldung!$N25="Ja",IFERROR(VALUE(LEFT(Anmeldung!$O25,FIND(":",Anmeldung!$O25)-1)),0)&gt;0,IFERROR(VALUE(LEFT(Anmeldung!$P25,FIND(":",Anmeldung!$P25)-1)),0)&gt;0,Anmeldung!$B25=MIN(Anmeldung!$B25,IFERROR(VALUE(LEFT(Anmeldung!$O25,FIND(":",Anmeldung!$O25)-1)),0),IFERROR(VALUE(LEFT(Anmeldung!$P25,FIND(":",Anmeldung!$P25)-1)),0))),"Poomsae Team","")</f>
        <v/>
      </c>
      <c r="B53" s="1" t="str">
        <f>IF($A53="","",Anmeldung!$G25&amp;" / "&amp;Anmeldung!$J25)</f>
        <v/>
      </c>
      <c r="C53" s="1" t="str">
        <f t="shared" si="0"/>
        <v/>
      </c>
      <c r="D53" s="1" t="str">
        <f>IF($A53="","","Team")</f>
        <v/>
      </c>
      <c r="E53" s="1" t="str">
        <f t="array" ref="E53">IF($A53="","",Anmeldung!$E25&amp;" "&amp;Anmeldung!$D25&amp;" / "&amp;IF(IFERROR(VALUE(LEFT(Anmeldung!$O25,FIND(":",Anmeldung!$O25)-1)),0)=0,"",INDEX(Anmeldung!$E$18:$E$47,IFERROR(VALUE(LEFT(Anmeldung!$O25,FIND(":",Anmeldung!$O25)-1)),0))&amp;" "&amp;INDEX(Anmeldung!$D$18:$D$47,IFERROR(VALUE(LEFT(Anmeldung!$O25,FIND(":",Anmeldung!$O25)-1)),0)))&amp;" / "&amp;IF(IFERROR(VALUE(LEFT(Anmeldung!$P25,FIND(":",Anmeldung!$P25)-1)),0)=0,"",INDEX(Anmeldung!$E$18:$E$47,IFERROR(VALUE(LEFT(Anmeldung!$P25,FIND(":",Anmeldung!$P25)-1)),0))&amp;" "&amp;INDEX(Anmeldung!$D$18:$D$47,IFERROR(VALUE(LEFT(Anmeldung!$P25,FIND(":",Anmeldung!$P25)-1)),0))))</f>
        <v/>
      </c>
      <c r="F53" s="1" t="str">
        <f>IF($A53="","",Anmeldung!$B25&amp;", "&amp;IFERROR(VALUE(LEFT(Anmeldung!$O25,FIND(":",Anmeldung!$O25)-1)),0)&amp;", "&amp;IFERROR(VALUE(LEFT(Anmeldung!$P25,FIND(":",Anmeldung!$P25)-1)),0))</f>
        <v/>
      </c>
      <c r="G53" s="1" t="str">
        <f>IF($A53="","",Anmeldung!$G25)</f>
        <v/>
      </c>
      <c r="H53" s="1" t="str">
        <f>IF($A53="","",Anmeldung!$J25)</f>
        <v/>
      </c>
      <c r="I53" s="1" t="str">
        <f>IF($A53="","",Anmeldung!$I25)</f>
        <v/>
      </c>
      <c r="J53" s="1" t="str">
        <f t="shared" si="1"/>
        <v/>
      </c>
    </row>
    <row r="54" spans="1:10" ht="14.25" customHeight="1" x14ac:dyDescent="0.3">
      <c r="A54" s="1" t="str">
        <f>IF(AND(Anmeldung!$D25&lt;&gt;"",Anmeldung!$Q25="Ja",IFERROR(VALUE(LEFT(Anmeldung!$R25,FIND(":",Anmeldung!$R25)-1)),0)&gt;0,Anmeldung!$B25=MIN(Anmeldung!$B25,IFERROR(VALUE(LEFT(Anmeldung!$R25,FIND(":",Anmeldung!$R25)-1)),0),IF(IFERROR(VALUE(LEFT(Anmeldung!$S25,FIND(":",Anmeldung!$S25)-1)),0)=0,999,IFERROR(VALUE(LEFT(Anmeldung!$S25,FIND(":",Anmeldung!$S25)-1)),0)))),"Poomsae Family","")</f>
        <v/>
      </c>
      <c r="B54" s="1" t="str">
        <f>IF($A54="","","Poomsae Family / "&amp;Anmeldung!$T25)</f>
        <v/>
      </c>
      <c r="C54" s="1" t="str">
        <f t="shared" si="0"/>
        <v/>
      </c>
      <c r="D54" s="1" t="str">
        <f>IF($A54="","","Family")</f>
        <v/>
      </c>
      <c r="E54" s="1" t="str">
        <f t="array" ref="E54">IF($A54="","",Anmeldung!$E25&amp;" "&amp;Anmeldung!$D25&amp;" / "&amp;IF(IFERROR(VALUE(LEFT(Anmeldung!$R25,FIND(":",Anmeldung!$R25)-1)),0)=0,"",INDEX(Anmeldung!$E$18:$E$47,IFERROR(VALUE(LEFT(Anmeldung!$R25,FIND(":",Anmeldung!$R25)-1)),0))&amp;" "&amp;INDEX(Anmeldung!$D$18:$D$47,IFERROR(VALUE(LEFT(Anmeldung!$R25,FIND(":",Anmeldung!$R25)-1)),0)))&amp;IF(IFERROR(VALUE(LEFT(Anmeldung!$S25,FIND(":",Anmeldung!$S25)-1)),0)&gt;0," / "&amp;IF(IFERROR(VALUE(LEFT(Anmeldung!$S25,FIND(":",Anmeldung!$S25)-1)),0)=0,"",INDEX(Anmeldung!$E$18:$E$47,IFERROR(VALUE(LEFT(Anmeldung!$S25,FIND(":",Anmeldung!$S25)-1)),0))&amp;" "&amp;INDEX(Anmeldung!$D$18:$D$47,IFERROR(VALUE(LEFT(Anmeldung!$S25,FIND(":",Anmeldung!$S25)-1)),0))),""))</f>
        <v/>
      </c>
      <c r="F54" s="1" t="str">
        <f>IF($A54="","",Anmeldung!$B25&amp;", "&amp;IFERROR(VALUE(LEFT(Anmeldung!$R25,FIND(":",Anmeldung!$R25)-1)),0)&amp;IF(IFERROR(VALUE(LEFT(Anmeldung!$S25,FIND(":",Anmeldung!$S25)-1)),0)&gt;0,", "&amp;IFERROR(VALUE(LEFT(Anmeldung!$S25,FIND(":",Anmeldung!$S25)-1)),0),""))</f>
        <v/>
      </c>
      <c r="G54" s="1" t="str">
        <f>IF($A54="","","-")</f>
        <v/>
      </c>
      <c r="H54" s="1" t="str">
        <f>IF($A54="","",Anmeldung!$T25)</f>
        <v/>
      </c>
      <c r="I54" s="1" t="str">
        <f>IF($A54="","","niedrigste Graduierung")</f>
        <v/>
      </c>
      <c r="J54" s="1" t="str">
        <f t="shared" si="1"/>
        <v/>
      </c>
    </row>
    <row r="55" spans="1:10" ht="14.25" customHeight="1" x14ac:dyDescent="0.3">
      <c r="A55" s="1" t="str">
        <f>IF(AND(Anmeldung!$D25&lt;&gt;"",Anmeldung!$U25="Ja",IFERROR(VALUE(LEFT(Anmeldung!$V25,FIND(":",Anmeldung!$V25)-1)),0)&gt;0,Anmeldung!$B25=MIN(Anmeldung!$B25,IFERROR(VALUE(LEFT(Anmeldung!$V25,FIND(":",Anmeldung!$V25)-1)),0))),"Einschrittkampf","")</f>
        <v/>
      </c>
      <c r="B55" s="1" t="str">
        <f>IF($A55="","",Anmeldung!$G25&amp;" / "&amp;Anmeldung!$J25)</f>
        <v/>
      </c>
      <c r="C55" s="1" t="str">
        <f t="shared" si="0"/>
        <v/>
      </c>
      <c r="D55" s="1" t="str">
        <f>IF($A55="","","Paar")</f>
        <v/>
      </c>
      <c r="E55" s="1" t="str">
        <f t="array" ref="E55">IF($A55="","",Anmeldung!$E25&amp;" "&amp;Anmeldung!$D25&amp;" / "&amp;IF(IFERROR(VALUE(LEFT(Anmeldung!$V25,FIND(":",Anmeldung!$V25)-1)),0)=0,"",INDEX(Anmeldung!$E$18:$E$47,IFERROR(VALUE(LEFT(Anmeldung!$V25,FIND(":",Anmeldung!$V25)-1)),0))&amp;" "&amp;INDEX(Anmeldung!$D$18:$D$47,IFERROR(VALUE(LEFT(Anmeldung!$V25,FIND(":",Anmeldung!$V25)-1)),0))))</f>
        <v/>
      </c>
      <c r="F55" s="1" t="str">
        <f>IF($A55="","",Anmeldung!$B25&amp;", "&amp;IFERROR(VALUE(LEFT(Anmeldung!$V25,FIND(":",Anmeldung!$V25)-1)),0))</f>
        <v/>
      </c>
      <c r="G55" s="1" t="str">
        <f>IF($A55="","",Anmeldung!$G25)</f>
        <v/>
      </c>
      <c r="H55" s="1" t="str">
        <f>IF($A55="","",Anmeldung!$J25)</f>
        <v/>
      </c>
      <c r="I55" s="1" t="str">
        <f>IF($A55="","",Anmeldung!$I25)</f>
        <v/>
      </c>
      <c r="J55" s="1" t="str">
        <f t="shared" si="1"/>
        <v/>
      </c>
    </row>
    <row r="56" spans="1:10" ht="14.25" customHeight="1" x14ac:dyDescent="0.3">
      <c r="A56" s="1" t="str">
        <f>IF(AND(Anmeldung!$D25&lt;&gt;"",Anmeldung!$W25="Ja"),"Bruchtest","")</f>
        <v/>
      </c>
      <c r="B56" s="1" t="str">
        <f>IF($A56="","",IF(YEAR(Anmeldung!$F25)&gt;=2009,"Bruchtest 16-17 Jahre / JG 2010-2009 / 1,0 cm",IF(YEAR(Anmeldung!$F25)&gt;=1986,"Bruchtest 18-40 Jahre / JG 2008-1986 / 1,5 cm","Bruchtest ab 41 Jahre / JG ab 1985 / 1,0 cm")))</f>
        <v/>
      </c>
      <c r="C56" s="1" t="str">
        <f t="shared" si="0"/>
        <v/>
      </c>
      <c r="D56" s="1" t="str">
        <f t="shared" ref="D56:D58" si="9">IF($A56="","","Einzel")</f>
        <v/>
      </c>
      <c r="E56" s="1" t="str">
        <f>IF($A56="","",Anmeldung!$E25&amp;" "&amp;Anmeldung!$D25)</f>
        <v/>
      </c>
      <c r="F56" s="1" t="str">
        <f>IF($A56="","",Anmeldung!$B25)</f>
        <v/>
      </c>
      <c r="G56" s="1" t="str">
        <f>IF($A56="","",Anmeldung!$G25)</f>
        <v/>
      </c>
      <c r="H56" s="1" t="str">
        <f>IF($A56="","",Anmeldung!$J25)</f>
        <v/>
      </c>
      <c r="I56" s="1" t="str">
        <f>IF($A56="","",Anmeldung!$I25)</f>
        <v/>
      </c>
      <c r="J56" s="1" t="str">
        <f t="shared" si="1"/>
        <v/>
      </c>
    </row>
    <row r="57" spans="1:10" ht="14.25" customHeight="1" x14ac:dyDescent="0.3">
      <c r="A57" s="1" t="str">
        <f>IF(AND(Anmeldung!$D25&lt;&gt;"",Anmeldung!$X25="Ja"),"Speed-Kicking","")</f>
        <v/>
      </c>
      <c r="B57" s="1" t="str">
        <f>IF($A57="","",Anmeldung!$G25)</f>
        <v/>
      </c>
      <c r="C57" s="1" t="str">
        <f t="shared" si="0"/>
        <v/>
      </c>
      <c r="D57" s="1" t="str">
        <f t="shared" si="9"/>
        <v/>
      </c>
      <c r="E57" s="1" t="str">
        <f>IF($A57="","",Anmeldung!$E25&amp;" "&amp;Anmeldung!$D25)</f>
        <v/>
      </c>
      <c r="F57" s="1" t="str">
        <f>IF($A57="","",Anmeldung!$B25)</f>
        <v/>
      </c>
      <c r="G57" s="1" t="str">
        <f>IF($A57="","",Anmeldung!$G25)</f>
        <v/>
      </c>
      <c r="H57" s="1" t="str">
        <f>IF($A57="","",Anmeldung!$J25)</f>
        <v/>
      </c>
      <c r="I57" s="1" t="str">
        <f>IF($A57="","",Anmeldung!$I25)</f>
        <v/>
      </c>
      <c r="J57" s="1" t="str">
        <f t="shared" si="1"/>
        <v/>
      </c>
    </row>
    <row r="58" spans="1:10" ht="14.25" customHeight="1" x14ac:dyDescent="0.3">
      <c r="A58" s="1" t="str">
        <f>IF(AND(Anmeldung!$D26&lt;&gt;"",Anmeldung!$K26="Ja"),"Poomsae Einzel","")</f>
        <v/>
      </c>
      <c r="B58" s="1" t="str">
        <f>IF($A58="","",Anmeldung!$G26&amp;" / "&amp;Anmeldung!$J26)</f>
        <v/>
      </c>
      <c r="C58" s="1" t="str">
        <f t="shared" si="0"/>
        <v/>
      </c>
      <c r="D58" s="1" t="str">
        <f t="shared" si="9"/>
        <v/>
      </c>
      <c r="E58" s="1" t="str">
        <f>IF($A58="","",Anmeldung!$E26&amp;" "&amp;Anmeldung!$D26)</f>
        <v/>
      </c>
      <c r="F58" s="1" t="str">
        <f>IF($A58="","",Anmeldung!$B26)</f>
        <v/>
      </c>
      <c r="G58" s="1" t="str">
        <f>IF($A58="","",Anmeldung!$G26)</f>
        <v/>
      </c>
      <c r="H58" s="1" t="str">
        <f>IF($A58="","",Anmeldung!$J26)</f>
        <v/>
      </c>
      <c r="I58" s="1" t="str">
        <f>IF($A58="","",Anmeldung!$I26)</f>
        <v/>
      </c>
      <c r="J58" s="1" t="str">
        <f t="shared" si="1"/>
        <v/>
      </c>
    </row>
    <row r="59" spans="1:10" ht="14.25" customHeight="1" x14ac:dyDescent="0.3">
      <c r="A59" s="1" t="str">
        <f>IF(AND(Anmeldung!$D26&lt;&gt;"",Anmeldung!$L26="Ja",IFERROR(VALUE(LEFT(Anmeldung!$M26,FIND(":",Anmeldung!$M26)-1)),0)&gt;0,Anmeldung!$B26=MIN(Anmeldung!$B26,IFERROR(VALUE(LEFT(Anmeldung!$M26,FIND(":",Anmeldung!$M26)-1)),0))),"Poomsae Paar","")</f>
        <v/>
      </c>
      <c r="B59" s="1" t="str">
        <f>IF($A59="","",Anmeldung!$G26&amp;" / "&amp;Anmeldung!$J26)</f>
        <v/>
      </c>
      <c r="C59" s="1" t="str">
        <f t="shared" si="0"/>
        <v/>
      </c>
      <c r="D59" s="1" t="str">
        <f>IF($A59="","","Paar")</f>
        <v/>
      </c>
      <c r="E59" s="1" t="str">
        <f t="array" ref="E59">IF($A59="","",Anmeldung!$E26&amp;" "&amp;Anmeldung!$D26&amp;" / "&amp;IF(IFERROR(VALUE(LEFT(Anmeldung!$M26,FIND(":",Anmeldung!$M26)-1)),0)=0,"",INDEX(Anmeldung!$E$18:$E$47,IFERROR(VALUE(LEFT(Anmeldung!$M26,FIND(":",Anmeldung!$M26)-1)),0))&amp;" "&amp;INDEX(Anmeldung!$D$18:$D$47,IFERROR(VALUE(LEFT(Anmeldung!$M26,FIND(":",Anmeldung!$M26)-1)),0))))</f>
        <v/>
      </c>
      <c r="F59" s="1" t="str">
        <f>IF($A59="","",Anmeldung!$B26&amp;", "&amp;IFERROR(VALUE(LEFT(Anmeldung!$M26,FIND(":",Anmeldung!$M26)-1)),0))</f>
        <v/>
      </c>
      <c r="G59" s="1" t="str">
        <f>IF($A59="","",Anmeldung!$G26)</f>
        <v/>
      </c>
      <c r="H59" s="1" t="str">
        <f>IF($A59="","",Anmeldung!$J26)</f>
        <v/>
      </c>
      <c r="I59" s="1" t="str">
        <f>IF($A59="","",Anmeldung!$I26)</f>
        <v/>
      </c>
      <c r="J59" s="1" t="str">
        <f t="shared" si="1"/>
        <v/>
      </c>
    </row>
    <row r="60" spans="1:10" ht="14.25" customHeight="1" x14ac:dyDescent="0.3">
      <c r="A60" s="1" t="str">
        <f>IF(AND(Anmeldung!$D26&lt;&gt;"",Anmeldung!$N26="Ja",IFERROR(VALUE(LEFT(Anmeldung!$O26,FIND(":",Anmeldung!$O26)-1)),0)&gt;0,IFERROR(VALUE(LEFT(Anmeldung!$P26,FIND(":",Anmeldung!$P26)-1)),0)&gt;0,Anmeldung!$B26=MIN(Anmeldung!$B26,IFERROR(VALUE(LEFT(Anmeldung!$O26,FIND(":",Anmeldung!$O26)-1)),0),IFERROR(VALUE(LEFT(Anmeldung!$P26,FIND(":",Anmeldung!$P26)-1)),0))),"Poomsae Team","")</f>
        <v/>
      </c>
      <c r="B60" s="1" t="str">
        <f>IF($A60="","",Anmeldung!$G26&amp;" / "&amp;Anmeldung!$J26)</f>
        <v/>
      </c>
      <c r="C60" s="1" t="str">
        <f t="shared" si="0"/>
        <v/>
      </c>
      <c r="D60" s="1" t="str">
        <f>IF($A60="","","Team")</f>
        <v/>
      </c>
      <c r="E60" s="1" t="str">
        <f t="array" ref="E60">IF($A60="","",Anmeldung!$E26&amp;" "&amp;Anmeldung!$D26&amp;" / "&amp;IF(IFERROR(VALUE(LEFT(Anmeldung!$O26,FIND(":",Anmeldung!$O26)-1)),0)=0,"",INDEX(Anmeldung!$E$18:$E$47,IFERROR(VALUE(LEFT(Anmeldung!$O26,FIND(":",Anmeldung!$O26)-1)),0))&amp;" "&amp;INDEX(Anmeldung!$D$18:$D$47,IFERROR(VALUE(LEFT(Anmeldung!$O26,FIND(":",Anmeldung!$O26)-1)),0)))&amp;" / "&amp;IF(IFERROR(VALUE(LEFT(Anmeldung!$P26,FIND(":",Anmeldung!$P26)-1)),0)=0,"",INDEX(Anmeldung!$E$18:$E$47,IFERROR(VALUE(LEFT(Anmeldung!$P26,FIND(":",Anmeldung!$P26)-1)),0))&amp;" "&amp;INDEX(Anmeldung!$D$18:$D$47,IFERROR(VALUE(LEFT(Anmeldung!$P26,FIND(":",Anmeldung!$P26)-1)),0))))</f>
        <v/>
      </c>
      <c r="F60" s="1" t="str">
        <f>IF($A60="","",Anmeldung!$B26&amp;", "&amp;IFERROR(VALUE(LEFT(Anmeldung!$O26,FIND(":",Anmeldung!$O26)-1)),0)&amp;", "&amp;IFERROR(VALUE(LEFT(Anmeldung!$P26,FIND(":",Anmeldung!$P26)-1)),0))</f>
        <v/>
      </c>
      <c r="G60" s="1" t="str">
        <f>IF($A60="","",Anmeldung!$G26)</f>
        <v/>
      </c>
      <c r="H60" s="1" t="str">
        <f>IF($A60="","",Anmeldung!$J26)</f>
        <v/>
      </c>
      <c r="I60" s="1" t="str">
        <f>IF($A60="","",Anmeldung!$I26)</f>
        <v/>
      </c>
      <c r="J60" s="1" t="str">
        <f t="shared" si="1"/>
        <v/>
      </c>
    </row>
    <row r="61" spans="1:10" ht="14.25" customHeight="1" x14ac:dyDescent="0.3">
      <c r="A61" s="1" t="str">
        <f>IF(AND(Anmeldung!$D26&lt;&gt;"",Anmeldung!$Q26="Ja",IFERROR(VALUE(LEFT(Anmeldung!$R26,FIND(":",Anmeldung!$R26)-1)),0)&gt;0,Anmeldung!$B26=MIN(Anmeldung!$B26,IFERROR(VALUE(LEFT(Anmeldung!$R26,FIND(":",Anmeldung!$R26)-1)),0),IF(IFERROR(VALUE(LEFT(Anmeldung!$S26,FIND(":",Anmeldung!$S26)-1)),0)=0,999,IFERROR(VALUE(LEFT(Anmeldung!$S26,FIND(":",Anmeldung!$S26)-1)),0)))),"Poomsae Family","")</f>
        <v/>
      </c>
      <c r="B61" s="1" t="str">
        <f>IF($A61="","","Poomsae Family / "&amp;Anmeldung!$T26)</f>
        <v/>
      </c>
      <c r="C61" s="1" t="str">
        <f t="shared" si="0"/>
        <v/>
      </c>
      <c r="D61" s="1" t="str">
        <f>IF($A61="","","Family")</f>
        <v/>
      </c>
      <c r="E61" s="1" t="str">
        <f t="array" ref="E61">IF($A61="","",Anmeldung!$E26&amp;" "&amp;Anmeldung!$D26&amp;" / "&amp;IF(IFERROR(VALUE(LEFT(Anmeldung!$R26,FIND(":",Anmeldung!$R26)-1)),0)=0,"",INDEX(Anmeldung!$E$18:$E$47,IFERROR(VALUE(LEFT(Anmeldung!$R26,FIND(":",Anmeldung!$R26)-1)),0))&amp;" "&amp;INDEX(Anmeldung!$D$18:$D$47,IFERROR(VALUE(LEFT(Anmeldung!$R26,FIND(":",Anmeldung!$R26)-1)),0)))&amp;IF(IFERROR(VALUE(LEFT(Anmeldung!$S26,FIND(":",Anmeldung!$S26)-1)),0)&gt;0," / "&amp;IF(IFERROR(VALUE(LEFT(Anmeldung!$S26,FIND(":",Anmeldung!$S26)-1)),0)=0,"",INDEX(Anmeldung!$E$18:$E$47,IFERROR(VALUE(LEFT(Anmeldung!$S26,FIND(":",Anmeldung!$S26)-1)),0))&amp;" "&amp;INDEX(Anmeldung!$D$18:$D$47,IFERROR(VALUE(LEFT(Anmeldung!$S26,FIND(":",Anmeldung!$S26)-1)),0))),""))</f>
        <v/>
      </c>
      <c r="F61" s="1" t="str">
        <f>IF($A61="","",Anmeldung!$B26&amp;", "&amp;IFERROR(VALUE(LEFT(Anmeldung!$R26,FIND(":",Anmeldung!$R26)-1)),0)&amp;IF(IFERROR(VALUE(LEFT(Anmeldung!$S26,FIND(":",Anmeldung!$S26)-1)),0)&gt;0,", "&amp;IFERROR(VALUE(LEFT(Anmeldung!$S26,FIND(":",Anmeldung!$S26)-1)),0),""))</f>
        <v/>
      </c>
      <c r="G61" s="1" t="str">
        <f>IF($A61="","","-")</f>
        <v/>
      </c>
      <c r="H61" s="1" t="str">
        <f>IF($A61="","",Anmeldung!$T26)</f>
        <v/>
      </c>
      <c r="I61" s="1" t="str">
        <f>IF($A61="","","niedrigste Graduierung")</f>
        <v/>
      </c>
      <c r="J61" s="1" t="str">
        <f t="shared" si="1"/>
        <v/>
      </c>
    </row>
    <row r="62" spans="1:10" ht="14.25" customHeight="1" x14ac:dyDescent="0.3">
      <c r="A62" s="1" t="str">
        <f>IF(AND(Anmeldung!$D26&lt;&gt;"",Anmeldung!$U26="Ja",IFERROR(VALUE(LEFT(Anmeldung!$V26,FIND(":",Anmeldung!$V26)-1)),0)&gt;0,Anmeldung!$B26=MIN(Anmeldung!$B26,IFERROR(VALUE(LEFT(Anmeldung!$V26,FIND(":",Anmeldung!$V26)-1)),0))),"Einschrittkampf","")</f>
        <v/>
      </c>
      <c r="B62" s="1" t="str">
        <f>IF($A62="","",Anmeldung!$G26&amp;" / "&amp;Anmeldung!$J26)</f>
        <v/>
      </c>
      <c r="C62" s="1" t="str">
        <f t="shared" si="0"/>
        <v/>
      </c>
      <c r="D62" s="1" t="str">
        <f>IF($A62="","","Paar")</f>
        <v/>
      </c>
      <c r="E62" s="1" t="str">
        <f t="array" ref="E62">IF($A62="","",Anmeldung!$E26&amp;" "&amp;Anmeldung!$D26&amp;" / "&amp;IF(IFERROR(VALUE(LEFT(Anmeldung!$V26,FIND(":",Anmeldung!$V26)-1)),0)=0,"",INDEX(Anmeldung!$E$18:$E$47,IFERROR(VALUE(LEFT(Anmeldung!$V26,FIND(":",Anmeldung!$V26)-1)),0))&amp;" "&amp;INDEX(Anmeldung!$D$18:$D$47,IFERROR(VALUE(LEFT(Anmeldung!$V26,FIND(":",Anmeldung!$V26)-1)),0))))</f>
        <v/>
      </c>
      <c r="F62" s="1" t="str">
        <f>IF($A62="","",Anmeldung!$B26&amp;", "&amp;IFERROR(VALUE(LEFT(Anmeldung!$V26,FIND(":",Anmeldung!$V26)-1)),0))</f>
        <v/>
      </c>
      <c r="G62" s="1" t="str">
        <f>IF($A62="","",Anmeldung!$G26)</f>
        <v/>
      </c>
      <c r="H62" s="1" t="str">
        <f>IF($A62="","",Anmeldung!$J26)</f>
        <v/>
      </c>
      <c r="I62" s="1" t="str">
        <f>IF($A62="","",Anmeldung!$I26)</f>
        <v/>
      </c>
      <c r="J62" s="1" t="str">
        <f t="shared" si="1"/>
        <v/>
      </c>
    </row>
    <row r="63" spans="1:10" ht="14.25" customHeight="1" x14ac:dyDescent="0.3">
      <c r="A63" s="1" t="str">
        <f>IF(AND(Anmeldung!$D26&lt;&gt;"",Anmeldung!$W26="Ja"),"Bruchtest","")</f>
        <v/>
      </c>
      <c r="B63" s="1" t="str">
        <f>IF($A63="","",IF(YEAR(Anmeldung!$F26)&gt;=2009,"Bruchtest 16-17 Jahre / JG 2010-2009 / 1,0 cm",IF(YEAR(Anmeldung!$F26)&gt;=1986,"Bruchtest 18-40 Jahre / JG 2008-1986 / 1,5 cm","Bruchtest ab 41 Jahre / JG ab 1985 / 1,0 cm")))</f>
        <v/>
      </c>
      <c r="C63" s="1" t="str">
        <f t="shared" si="0"/>
        <v/>
      </c>
      <c r="D63" s="1" t="str">
        <f t="shared" ref="D63:D65" si="10">IF($A63="","","Einzel")</f>
        <v/>
      </c>
      <c r="E63" s="1" t="str">
        <f>IF($A63="","",Anmeldung!$E26&amp;" "&amp;Anmeldung!$D26)</f>
        <v/>
      </c>
      <c r="F63" s="1" t="str">
        <f>IF($A63="","",Anmeldung!$B26)</f>
        <v/>
      </c>
      <c r="G63" s="1" t="str">
        <f>IF($A63="","",Anmeldung!$G26)</f>
        <v/>
      </c>
      <c r="H63" s="1" t="str">
        <f>IF($A63="","",Anmeldung!$J26)</f>
        <v/>
      </c>
      <c r="I63" s="1" t="str">
        <f>IF($A63="","",Anmeldung!$I26)</f>
        <v/>
      </c>
      <c r="J63" s="1" t="str">
        <f t="shared" si="1"/>
        <v/>
      </c>
    </row>
    <row r="64" spans="1:10" ht="14.25" customHeight="1" x14ac:dyDescent="0.3">
      <c r="A64" s="1" t="str">
        <f>IF(AND(Anmeldung!$D26&lt;&gt;"",Anmeldung!$X26="Ja"),"Speed-Kicking","")</f>
        <v/>
      </c>
      <c r="B64" s="1" t="str">
        <f>IF($A64="","",Anmeldung!$G26)</f>
        <v/>
      </c>
      <c r="C64" s="1" t="str">
        <f t="shared" si="0"/>
        <v/>
      </c>
      <c r="D64" s="1" t="str">
        <f t="shared" si="10"/>
        <v/>
      </c>
      <c r="E64" s="1" t="str">
        <f>IF($A64="","",Anmeldung!$E26&amp;" "&amp;Anmeldung!$D26)</f>
        <v/>
      </c>
      <c r="F64" s="1" t="str">
        <f>IF($A64="","",Anmeldung!$B26)</f>
        <v/>
      </c>
      <c r="G64" s="1" t="str">
        <f>IF($A64="","",Anmeldung!$G26)</f>
        <v/>
      </c>
      <c r="H64" s="1" t="str">
        <f>IF($A64="","",Anmeldung!$J26)</f>
        <v/>
      </c>
      <c r="I64" s="1" t="str">
        <f>IF($A64="","",Anmeldung!$I26)</f>
        <v/>
      </c>
      <c r="J64" s="1" t="str">
        <f t="shared" si="1"/>
        <v/>
      </c>
    </row>
    <row r="65" spans="1:10" ht="14.25" customHeight="1" x14ac:dyDescent="0.3">
      <c r="A65" s="1" t="str">
        <f>IF(AND(Anmeldung!$D27&lt;&gt;"",Anmeldung!$K27="Ja"),"Poomsae Einzel","")</f>
        <v/>
      </c>
      <c r="B65" s="1" t="str">
        <f>IF($A65="","",Anmeldung!$G27&amp;" / "&amp;Anmeldung!$J27)</f>
        <v/>
      </c>
      <c r="C65" s="1" t="str">
        <f t="shared" si="0"/>
        <v/>
      </c>
      <c r="D65" s="1" t="str">
        <f t="shared" si="10"/>
        <v/>
      </c>
      <c r="E65" s="1" t="str">
        <f>IF($A65="","",Anmeldung!$E27&amp;" "&amp;Anmeldung!$D27)</f>
        <v/>
      </c>
      <c r="F65" s="1" t="str">
        <f>IF($A65="","",Anmeldung!$B27)</f>
        <v/>
      </c>
      <c r="G65" s="1" t="str">
        <f>IF($A65="","",Anmeldung!$G27)</f>
        <v/>
      </c>
      <c r="H65" s="1" t="str">
        <f>IF($A65="","",Anmeldung!$J27)</f>
        <v/>
      </c>
      <c r="I65" s="1" t="str">
        <f>IF($A65="","",Anmeldung!$I27)</f>
        <v/>
      </c>
      <c r="J65" s="1" t="str">
        <f t="shared" si="1"/>
        <v/>
      </c>
    </row>
    <row r="66" spans="1:10" ht="14.25" customHeight="1" x14ac:dyDescent="0.3">
      <c r="A66" s="1" t="str">
        <f>IF(AND(Anmeldung!$D27&lt;&gt;"",Anmeldung!$L27="Ja",IFERROR(VALUE(LEFT(Anmeldung!$M27,FIND(":",Anmeldung!$M27)-1)),0)&gt;0,Anmeldung!$B27=MIN(Anmeldung!$B27,IFERROR(VALUE(LEFT(Anmeldung!$M27,FIND(":",Anmeldung!$M27)-1)),0))),"Poomsae Paar","")</f>
        <v/>
      </c>
      <c r="B66" s="1" t="str">
        <f>IF($A66="","",Anmeldung!$G27&amp;" / "&amp;Anmeldung!$J27)</f>
        <v/>
      </c>
      <c r="C66" s="1" t="str">
        <f t="shared" si="0"/>
        <v/>
      </c>
      <c r="D66" s="1" t="str">
        <f>IF($A66="","","Paar")</f>
        <v/>
      </c>
      <c r="E66" s="1" t="str">
        <f t="array" ref="E66">IF($A66="","",Anmeldung!$E27&amp;" "&amp;Anmeldung!$D27&amp;" / "&amp;IF(IFERROR(VALUE(LEFT(Anmeldung!$M27,FIND(":",Anmeldung!$M27)-1)),0)=0,"",INDEX(Anmeldung!$E$18:$E$47,IFERROR(VALUE(LEFT(Anmeldung!$M27,FIND(":",Anmeldung!$M27)-1)),0))&amp;" "&amp;INDEX(Anmeldung!$D$18:$D$47,IFERROR(VALUE(LEFT(Anmeldung!$M27,FIND(":",Anmeldung!$M27)-1)),0))))</f>
        <v/>
      </c>
      <c r="F66" s="1" t="str">
        <f>IF($A66="","",Anmeldung!$B27&amp;", "&amp;IFERROR(VALUE(LEFT(Anmeldung!$M27,FIND(":",Anmeldung!$M27)-1)),0))</f>
        <v/>
      </c>
      <c r="G66" s="1" t="str">
        <f>IF($A66="","",Anmeldung!$G27)</f>
        <v/>
      </c>
      <c r="H66" s="1" t="str">
        <f>IF($A66="","",Anmeldung!$J27)</f>
        <v/>
      </c>
      <c r="I66" s="1" t="str">
        <f>IF($A66="","",Anmeldung!$I27)</f>
        <v/>
      </c>
      <c r="J66" s="1" t="str">
        <f t="shared" si="1"/>
        <v/>
      </c>
    </row>
    <row r="67" spans="1:10" ht="14.25" customHeight="1" x14ac:dyDescent="0.3">
      <c r="A67" s="1" t="str">
        <f>IF(AND(Anmeldung!$D27&lt;&gt;"",Anmeldung!$N27="Ja",IFERROR(VALUE(LEFT(Anmeldung!$O27,FIND(":",Anmeldung!$O27)-1)),0)&gt;0,IFERROR(VALUE(LEFT(Anmeldung!$P27,FIND(":",Anmeldung!$P27)-1)),0)&gt;0,Anmeldung!$B27=MIN(Anmeldung!$B27,IFERROR(VALUE(LEFT(Anmeldung!$O27,FIND(":",Anmeldung!$O27)-1)),0),IFERROR(VALUE(LEFT(Anmeldung!$P27,FIND(":",Anmeldung!$P27)-1)),0))),"Poomsae Team","")</f>
        <v/>
      </c>
      <c r="B67" s="1" t="str">
        <f>IF($A67="","",Anmeldung!$G27&amp;" / "&amp;Anmeldung!$J27)</f>
        <v/>
      </c>
      <c r="C67" s="1" t="str">
        <f t="shared" si="0"/>
        <v/>
      </c>
      <c r="D67" s="1" t="str">
        <f>IF($A67="","","Team")</f>
        <v/>
      </c>
      <c r="E67" s="1" t="str">
        <f t="array" ref="E67">IF($A67="","",Anmeldung!$E27&amp;" "&amp;Anmeldung!$D27&amp;" / "&amp;IF(IFERROR(VALUE(LEFT(Anmeldung!$O27,FIND(":",Anmeldung!$O27)-1)),0)=0,"",INDEX(Anmeldung!$E$18:$E$47,IFERROR(VALUE(LEFT(Anmeldung!$O27,FIND(":",Anmeldung!$O27)-1)),0))&amp;" "&amp;INDEX(Anmeldung!$D$18:$D$47,IFERROR(VALUE(LEFT(Anmeldung!$O27,FIND(":",Anmeldung!$O27)-1)),0)))&amp;" / "&amp;IF(IFERROR(VALUE(LEFT(Anmeldung!$P27,FIND(":",Anmeldung!$P27)-1)),0)=0,"",INDEX(Anmeldung!$E$18:$E$47,IFERROR(VALUE(LEFT(Anmeldung!$P27,FIND(":",Anmeldung!$P27)-1)),0))&amp;" "&amp;INDEX(Anmeldung!$D$18:$D$47,IFERROR(VALUE(LEFT(Anmeldung!$P27,FIND(":",Anmeldung!$P27)-1)),0))))</f>
        <v/>
      </c>
      <c r="F67" s="1" t="str">
        <f>IF($A67="","",Anmeldung!$B27&amp;", "&amp;IFERROR(VALUE(LEFT(Anmeldung!$O27,FIND(":",Anmeldung!$O27)-1)),0)&amp;", "&amp;IFERROR(VALUE(LEFT(Anmeldung!$P27,FIND(":",Anmeldung!$P27)-1)),0))</f>
        <v/>
      </c>
      <c r="G67" s="1" t="str">
        <f>IF($A67="","",Anmeldung!$G27)</f>
        <v/>
      </c>
      <c r="H67" s="1" t="str">
        <f>IF($A67="","",Anmeldung!$J27)</f>
        <v/>
      </c>
      <c r="I67" s="1" t="str">
        <f>IF($A67="","",Anmeldung!$I27)</f>
        <v/>
      </c>
      <c r="J67" s="1" t="str">
        <f t="shared" si="1"/>
        <v/>
      </c>
    </row>
    <row r="68" spans="1:10" ht="14.25" customHeight="1" x14ac:dyDescent="0.3">
      <c r="A68" s="1" t="str">
        <f>IF(AND(Anmeldung!$D27&lt;&gt;"",Anmeldung!$Q27="Ja",IFERROR(VALUE(LEFT(Anmeldung!$R27,FIND(":",Anmeldung!$R27)-1)),0)&gt;0,Anmeldung!$B27=MIN(Anmeldung!$B27,IFERROR(VALUE(LEFT(Anmeldung!$R27,FIND(":",Anmeldung!$R27)-1)),0),IF(IFERROR(VALUE(LEFT(Anmeldung!$S27,FIND(":",Anmeldung!$S27)-1)),0)=0,999,IFERROR(VALUE(LEFT(Anmeldung!$S27,FIND(":",Anmeldung!$S27)-1)),0)))),"Poomsae Family","")</f>
        <v/>
      </c>
      <c r="B68" s="1" t="str">
        <f>IF($A68="","","Poomsae Family / "&amp;Anmeldung!$T27)</f>
        <v/>
      </c>
      <c r="C68" s="1" t="str">
        <f t="shared" si="0"/>
        <v/>
      </c>
      <c r="D68" s="1" t="str">
        <f>IF($A68="","","Family")</f>
        <v/>
      </c>
      <c r="E68" s="1" t="str">
        <f t="array" ref="E68">IF($A68="","",Anmeldung!$E27&amp;" "&amp;Anmeldung!$D27&amp;" / "&amp;IF(IFERROR(VALUE(LEFT(Anmeldung!$R27,FIND(":",Anmeldung!$R27)-1)),0)=0,"",INDEX(Anmeldung!$E$18:$E$47,IFERROR(VALUE(LEFT(Anmeldung!$R27,FIND(":",Anmeldung!$R27)-1)),0))&amp;" "&amp;INDEX(Anmeldung!$D$18:$D$47,IFERROR(VALUE(LEFT(Anmeldung!$R27,FIND(":",Anmeldung!$R27)-1)),0)))&amp;IF(IFERROR(VALUE(LEFT(Anmeldung!$S27,FIND(":",Anmeldung!$S27)-1)),0)&gt;0," / "&amp;IF(IFERROR(VALUE(LEFT(Anmeldung!$S27,FIND(":",Anmeldung!$S27)-1)),0)=0,"",INDEX(Anmeldung!$E$18:$E$47,IFERROR(VALUE(LEFT(Anmeldung!$S27,FIND(":",Anmeldung!$S27)-1)),0))&amp;" "&amp;INDEX(Anmeldung!$D$18:$D$47,IFERROR(VALUE(LEFT(Anmeldung!$S27,FIND(":",Anmeldung!$S27)-1)),0))),""))</f>
        <v/>
      </c>
      <c r="F68" s="1" t="str">
        <f>IF($A68="","",Anmeldung!$B27&amp;", "&amp;IFERROR(VALUE(LEFT(Anmeldung!$R27,FIND(":",Anmeldung!$R27)-1)),0)&amp;IF(IFERROR(VALUE(LEFT(Anmeldung!$S27,FIND(":",Anmeldung!$S27)-1)),0)&gt;0,", "&amp;IFERROR(VALUE(LEFT(Anmeldung!$S27,FIND(":",Anmeldung!$S27)-1)),0),""))</f>
        <v/>
      </c>
      <c r="G68" s="1" t="str">
        <f>IF($A68="","","-")</f>
        <v/>
      </c>
      <c r="H68" s="1" t="str">
        <f>IF($A68="","",Anmeldung!$T27)</f>
        <v/>
      </c>
      <c r="I68" s="1" t="str">
        <f>IF($A68="","","niedrigste Graduierung")</f>
        <v/>
      </c>
      <c r="J68" s="1" t="str">
        <f t="shared" si="1"/>
        <v/>
      </c>
    </row>
    <row r="69" spans="1:10" ht="14.25" customHeight="1" x14ac:dyDescent="0.3">
      <c r="A69" s="1" t="str">
        <f>IF(AND(Anmeldung!$D27&lt;&gt;"",Anmeldung!$U27="Ja",IFERROR(VALUE(LEFT(Anmeldung!$V27,FIND(":",Anmeldung!$V27)-1)),0)&gt;0,Anmeldung!$B27=MIN(Anmeldung!$B27,IFERROR(VALUE(LEFT(Anmeldung!$V27,FIND(":",Anmeldung!$V27)-1)),0))),"Einschrittkampf","")</f>
        <v/>
      </c>
      <c r="B69" s="1" t="str">
        <f>IF($A69="","",Anmeldung!$G27&amp;" / "&amp;Anmeldung!$J27)</f>
        <v/>
      </c>
      <c r="C69" s="1" t="str">
        <f t="shared" si="0"/>
        <v/>
      </c>
      <c r="D69" s="1" t="str">
        <f>IF($A69="","","Paar")</f>
        <v/>
      </c>
      <c r="E69" s="1" t="str">
        <f t="array" ref="E69">IF($A69="","",Anmeldung!$E27&amp;" "&amp;Anmeldung!$D27&amp;" / "&amp;IF(IFERROR(VALUE(LEFT(Anmeldung!$V27,FIND(":",Anmeldung!$V27)-1)),0)=0,"",INDEX(Anmeldung!$E$18:$E$47,IFERROR(VALUE(LEFT(Anmeldung!$V27,FIND(":",Anmeldung!$V27)-1)),0))&amp;" "&amp;INDEX(Anmeldung!$D$18:$D$47,IFERROR(VALUE(LEFT(Anmeldung!$V27,FIND(":",Anmeldung!$V27)-1)),0))))</f>
        <v/>
      </c>
      <c r="F69" s="1" t="str">
        <f>IF($A69="","",Anmeldung!$B27&amp;", "&amp;IFERROR(VALUE(LEFT(Anmeldung!$V27,FIND(":",Anmeldung!$V27)-1)),0))</f>
        <v/>
      </c>
      <c r="G69" s="1" t="str">
        <f>IF($A69="","",Anmeldung!$G27)</f>
        <v/>
      </c>
      <c r="H69" s="1" t="str">
        <f>IF($A69="","",Anmeldung!$J27)</f>
        <v/>
      </c>
      <c r="I69" s="1" t="str">
        <f>IF($A69="","",Anmeldung!$I27)</f>
        <v/>
      </c>
      <c r="J69" s="1" t="str">
        <f t="shared" si="1"/>
        <v/>
      </c>
    </row>
    <row r="70" spans="1:10" ht="14.25" customHeight="1" x14ac:dyDescent="0.3">
      <c r="A70" s="1" t="str">
        <f>IF(AND(Anmeldung!$D27&lt;&gt;"",Anmeldung!$W27="Ja"),"Bruchtest","")</f>
        <v/>
      </c>
      <c r="B70" s="1" t="str">
        <f>IF($A70="","",IF(YEAR(Anmeldung!$F27)&gt;=2009,"Bruchtest 16-17 Jahre / JG 2010-2009 / 1,0 cm",IF(YEAR(Anmeldung!$F27)&gt;=1986,"Bruchtest 18-40 Jahre / JG 2008-1986 / 1,5 cm","Bruchtest ab 41 Jahre / JG ab 1985 / 1,0 cm")))</f>
        <v/>
      </c>
      <c r="C70" s="1" t="str">
        <f t="shared" si="0"/>
        <v/>
      </c>
      <c r="D70" s="1" t="str">
        <f t="shared" ref="D70:D72" si="11">IF($A70="","","Einzel")</f>
        <v/>
      </c>
      <c r="E70" s="1" t="str">
        <f>IF($A70="","",Anmeldung!$E27&amp;" "&amp;Anmeldung!$D27)</f>
        <v/>
      </c>
      <c r="F70" s="1" t="str">
        <f>IF($A70="","",Anmeldung!$B27)</f>
        <v/>
      </c>
      <c r="G70" s="1" t="str">
        <f>IF($A70="","",Anmeldung!$G27)</f>
        <v/>
      </c>
      <c r="H70" s="1" t="str">
        <f>IF($A70="","",Anmeldung!$J27)</f>
        <v/>
      </c>
      <c r="I70" s="1" t="str">
        <f>IF($A70="","",Anmeldung!$I27)</f>
        <v/>
      </c>
      <c r="J70" s="1" t="str">
        <f t="shared" si="1"/>
        <v/>
      </c>
    </row>
    <row r="71" spans="1:10" ht="14.25" customHeight="1" x14ac:dyDescent="0.3">
      <c r="A71" s="1" t="str">
        <f>IF(AND(Anmeldung!$D27&lt;&gt;"",Anmeldung!$X27="Ja"),"Speed-Kicking","")</f>
        <v/>
      </c>
      <c r="B71" s="1" t="str">
        <f>IF($A71="","",Anmeldung!$G27)</f>
        <v/>
      </c>
      <c r="C71" s="1" t="str">
        <f t="shared" si="0"/>
        <v/>
      </c>
      <c r="D71" s="1" t="str">
        <f t="shared" si="11"/>
        <v/>
      </c>
      <c r="E71" s="1" t="str">
        <f>IF($A71="","",Anmeldung!$E27&amp;" "&amp;Anmeldung!$D27)</f>
        <v/>
      </c>
      <c r="F71" s="1" t="str">
        <f>IF($A71="","",Anmeldung!$B27)</f>
        <v/>
      </c>
      <c r="G71" s="1" t="str">
        <f>IF($A71="","",Anmeldung!$G27)</f>
        <v/>
      </c>
      <c r="H71" s="1" t="str">
        <f>IF($A71="","",Anmeldung!$J27)</f>
        <v/>
      </c>
      <c r="I71" s="1" t="str">
        <f>IF($A71="","",Anmeldung!$I27)</f>
        <v/>
      </c>
      <c r="J71" s="1" t="str">
        <f t="shared" si="1"/>
        <v/>
      </c>
    </row>
    <row r="72" spans="1:10" ht="14.25" customHeight="1" x14ac:dyDescent="0.3">
      <c r="A72" s="1" t="str">
        <f>IF(AND(Anmeldung!$D28&lt;&gt;"",Anmeldung!$K28="Ja"),"Poomsae Einzel","")</f>
        <v/>
      </c>
      <c r="B72" s="1" t="str">
        <f>IF($A72="","",Anmeldung!$G28&amp;" / "&amp;Anmeldung!$J28)</f>
        <v/>
      </c>
      <c r="C72" s="1" t="str">
        <f t="shared" si="0"/>
        <v/>
      </c>
      <c r="D72" s="1" t="str">
        <f t="shared" si="11"/>
        <v/>
      </c>
      <c r="E72" s="1" t="str">
        <f>IF($A72="","",Anmeldung!$E28&amp;" "&amp;Anmeldung!$D28)</f>
        <v/>
      </c>
      <c r="F72" s="1" t="str">
        <f>IF($A72="","",Anmeldung!$B28)</f>
        <v/>
      </c>
      <c r="G72" s="1" t="str">
        <f>IF($A72="","",Anmeldung!$G28)</f>
        <v/>
      </c>
      <c r="H72" s="1" t="str">
        <f>IF($A72="","",Anmeldung!$J28)</f>
        <v/>
      </c>
      <c r="I72" s="1" t="str">
        <f>IF($A72="","",Anmeldung!$I28)</f>
        <v/>
      </c>
      <c r="J72" s="1" t="str">
        <f t="shared" si="1"/>
        <v/>
      </c>
    </row>
    <row r="73" spans="1:10" ht="14.25" customHeight="1" x14ac:dyDescent="0.3">
      <c r="A73" s="1" t="str">
        <f>IF(AND(Anmeldung!$D28&lt;&gt;"",Anmeldung!$L28="Ja",IFERROR(VALUE(LEFT(Anmeldung!$M28,FIND(":",Anmeldung!$M28)-1)),0)&gt;0,Anmeldung!$B28=MIN(Anmeldung!$B28,IFERROR(VALUE(LEFT(Anmeldung!$M28,FIND(":",Anmeldung!$M28)-1)),0))),"Poomsae Paar","")</f>
        <v/>
      </c>
      <c r="B73" s="1" t="str">
        <f>IF($A73="","",Anmeldung!$G28&amp;" / "&amp;Anmeldung!$J28)</f>
        <v/>
      </c>
      <c r="C73" s="1" t="str">
        <f t="shared" si="0"/>
        <v/>
      </c>
      <c r="D73" s="1" t="str">
        <f>IF($A73="","","Paar")</f>
        <v/>
      </c>
      <c r="E73" s="1" t="str">
        <f t="array" ref="E73">IF($A73="","",Anmeldung!$E28&amp;" "&amp;Anmeldung!$D28&amp;" / "&amp;IF(IFERROR(VALUE(LEFT(Anmeldung!$M28,FIND(":",Anmeldung!$M28)-1)),0)=0,"",INDEX(Anmeldung!$E$18:$E$47,IFERROR(VALUE(LEFT(Anmeldung!$M28,FIND(":",Anmeldung!$M28)-1)),0))&amp;" "&amp;INDEX(Anmeldung!$D$18:$D$47,IFERROR(VALUE(LEFT(Anmeldung!$M28,FIND(":",Anmeldung!$M28)-1)),0))))</f>
        <v/>
      </c>
      <c r="F73" s="1" t="str">
        <f>IF($A73="","",Anmeldung!$B28&amp;", "&amp;IFERROR(VALUE(LEFT(Anmeldung!$M28,FIND(":",Anmeldung!$M28)-1)),0))</f>
        <v/>
      </c>
      <c r="G73" s="1" t="str">
        <f>IF($A73="","",Anmeldung!$G28)</f>
        <v/>
      </c>
      <c r="H73" s="1" t="str">
        <f>IF($A73="","",Anmeldung!$J28)</f>
        <v/>
      </c>
      <c r="I73" s="1" t="str">
        <f>IF($A73="","",Anmeldung!$I28)</f>
        <v/>
      </c>
      <c r="J73" s="1" t="str">
        <f t="shared" si="1"/>
        <v/>
      </c>
    </row>
    <row r="74" spans="1:10" ht="14.25" customHeight="1" x14ac:dyDescent="0.3">
      <c r="A74" s="1" t="str">
        <f>IF(AND(Anmeldung!$D28&lt;&gt;"",Anmeldung!$N28="Ja",IFERROR(VALUE(LEFT(Anmeldung!$O28,FIND(":",Anmeldung!$O28)-1)),0)&gt;0,IFERROR(VALUE(LEFT(Anmeldung!$P28,FIND(":",Anmeldung!$P28)-1)),0)&gt;0,Anmeldung!$B28=MIN(Anmeldung!$B28,IFERROR(VALUE(LEFT(Anmeldung!$O28,FIND(":",Anmeldung!$O28)-1)),0),IFERROR(VALUE(LEFT(Anmeldung!$P28,FIND(":",Anmeldung!$P28)-1)),0))),"Poomsae Team","")</f>
        <v/>
      </c>
      <c r="B74" s="1" t="str">
        <f>IF($A74="","",Anmeldung!$G28&amp;" / "&amp;Anmeldung!$J28)</f>
        <v/>
      </c>
      <c r="C74" s="1" t="str">
        <f t="shared" si="0"/>
        <v/>
      </c>
      <c r="D74" s="1" t="str">
        <f>IF($A74="","","Team")</f>
        <v/>
      </c>
      <c r="E74" s="1" t="str">
        <f t="array" ref="E74">IF($A74="","",Anmeldung!$E28&amp;" "&amp;Anmeldung!$D28&amp;" / "&amp;IF(IFERROR(VALUE(LEFT(Anmeldung!$O28,FIND(":",Anmeldung!$O28)-1)),0)=0,"",INDEX(Anmeldung!$E$18:$E$47,IFERROR(VALUE(LEFT(Anmeldung!$O28,FIND(":",Anmeldung!$O28)-1)),0))&amp;" "&amp;INDEX(Anmeldung!$D$18:$D$47,IFERROR(VALUE(LEFT(Anmeldung!$O28,FIND(":",Anmeldung!$O28)-1)),0)))&amp;" / "&amp;IF(IFERROR(VALUE(LEFT(Anmeldung!$P28,FIND(":",Anmeldung!$P28)-1)),0)=0,"",INDEX(Anmeldung!$E$18:$E$47,IFERROR(VALUE(LEFT(Anmeldung!$P28,FIND(":",Anmeldung!$P28)-1)),0))&amp;" "&amp;INDEX(Anmeldung!$D$18:$D$47,IFERROR(VALUE(LEFT(Anmeldung!$P28,FIND(":",Anmeldung!$P28)-1)),0))))</f>
        <v/>
      </c>
      <c r="F74" s="1" t="str">
        <f>IF($A74="","",Anmeldung!$B28&amp;", "&amp;IFERROR(VALUE(LEFT(Anmeldung!$O28,FIND(":",Anmeldung!$O28)-1)),0)&amp;", "&amp;IFERROR(VALUE(LEFT(Anmeldung!$P28,FIND(":",Anmeldung!$P28)-1)),0))</f>
        <v/>
      </c>
      <c r="G74" s="1" t="str">
        <f>IF($A74="","",Anmeldung!$G28)</f>
        <v/>
      </c>
      <c r="H74" s="1" t="str">
        <f>IF($A74="","",Anmeldung!$J28)</f>
        <v/>
      </c>
      <c r="I74" s="1" t="str">
        <f>IF($A74="","",Anmeldung!$I28)</f>
        <v/>
      </c>
      <c r="J74" s="1" t="str">
        <f t="shared" si="1"/>
        <v/>
      </c>
    </row>
    <row r="75" spans="1:10" ht="14.25" customHeight="1" x14ac:dyDescent="0.3">
      <c r="A75" s="1" t="str">
        <f>IF(AND(Anmeldung!$D28&lt;&gt;"",Anmeldung!$Q28="Ja",IFERROR(VALUE(LEFT(Anmeldung!$R28,FIND(":",Anmeldung!$R28)-1)),0)&gt;0,Anmeldung!$B28=MIN(Anmeldung!$B28,IFERROR(VALUE(LEFT(Anmeldung!$R28,FIND(":",Anmeldung!$R28)-1)),0),IF(IFERROR(VALUE(LEFT(Anmeldung!$S28,FIND(":",Anmeldung!$S28)-1)),0)=0,999,IFERROR(VALUE(LEFT(Anmeldung!$S28,FIND(":",Anmeldung!$S28)-1)),0)))),"Poomsae Family","")</f>
        <v/>
      </c>
      <c r="B75" s="1" t="str">
        <f>IF($A75="","","Poomsae Family / "&amp;Anmeldung!$T28)</f>
        <v/>
      </c>
      <c r="C75" s="1" t="str">
        <f t="shared" si="0"/>
        <v/>
      </c>
      <c r="D75" s="1" t="str">
        <f>IF($A75="","","Family")</f>
        <v/>
      </c>
      <c r="E75" s="1" t="str">
        <f t="array" ref="E75">IF($A75="","",Anmeldung!$E28&amp;" "&amp;Anmeldung!$D28&amp;" / "&amp;IF(IFERROR(VALUE(LEFT(Anmeldung!$R28,FIND(":",Anmeldung!$R28)-1)),0)=0,"",INDEX(Anmeldung!$E$18:$E$47,IFERROR(VALUE(LEFT(Anmeldung!$R28,FIND(":",Anmeldung!$R28)-1)),0))&amp;" "&amp;INDEX(Anmeldung!$D$18:$D$47,IFERROR(VALUE(LEFT(Anmeldung!$R28,FIND(":",Anmeldung!$R28)-1)),0)))&amp;IF(IFERROR(VALUE(LEFT(Anmeldung!$S28,FIND(":",Anmeldung!$S28)-1)),0)&gt;0," / "&amp;IF(IFERROR(VALUE(LEFT(Anmeldung!$S28,FIND(":",Anmeldung!$S28)-1)),0)=0,"",INDEX(Anmeldung!$E$18:$E$47,IFERROR(VALUE(LEFT(Anmeldung!$S28,FIND(":",Anmeldung!$S28)-1)),0))&amp;" "&amp;INDEX(Anmeldung!$D$18:$D$47,IFERROR(VALUE(LEFT(Anmeldung!$S28,FIND(":",Anmeldung!$S28)-1)),0))),""))</f>
        <v/>
      </c>
      <c r="F75" s="1" t="str">
        <f>IF($A75="","",Anmeldung!$B28&amp;", "&amp;IFERROR(VALUE(LEFT(Anmeldung!$R28,FIND(":",Anmeldung!$R28)-1)),0)&amp;IF(IFERROR(VALUE(LEFT(Anmeldung!$S28,FIND(":",Anmeldung!$S28)-1)),0)&gt;0,", "&amp;IFERROR(VALUE(LEFT(Anmeldung!$S28,FIND(":",Anmeldung!$S28)-1)),0),""))</f>
        <v/>
      </c>
      <c r="G75" s="1" t="str">
        <f>IF($A75="","","-")</f>
        <v/>
      </c>
      <c r="H75" s="1" t="str">
        <f>IF($A75="","",Anmeldung!$T28)</f>
        <v/>
      </c>
      <c r="I75" s="1" t="str">
        <f>IF($A75="","","niedrigste Graduierung")</f>
        <v/>
      </c>
      <c r="J75" s="1" t="str">
        <f t="shared" si="1"/>
        <v/>
      </c>
    </row>
    <row r="76" spans="1:10" ht="14.25" customHeight="1" x14ac:dyDescent="0.3">
      <c r="A76" s="1" t="str">
        <f>IF(AND(Anmeldung!$D28&lt;&gt;"",Anmeldung!$U28="Ja",IFERROR(VALUE(LEFT(Anmeldung!$V28,FIND(":",Anmeldung!$V28)-1)),0)&gt;0,Anmeldung!$B28=MIN(Anmeldung!$B28,IFERROR(VALUE(LEFT(Anmeldung!$V28,FIND(":",Anmeldung!$V28)-1)),0))),"Einschrittkampf","")</f>
        <v/>
      </c>
      <c r="B76" s="1" t="str">
        <f>IF($A76="","",Anmeldung!$G28&amp;" / "&amp;Anmeldung!$J28)</f>
        <v/>
      </c>
      <c r="C76" s="1" t="str">
        <f t="shared" si="0"/>
        <v/>
      </c>
      <c r="D76" s="1" t="str">
        <f>IF($A76="","","Paar")</f>
        <v/>
      </c>
      <c r="E76" s="1" t="str">
        <f t="array" ref="E76">IF($A76="","",Anmeldung!$E28&amp;" "&amp;Anmeldung!$D28&amp;" / "&amp;IF(IFERROR(VALUE(LEFT(Anmeldung!$V28,FIND(":",Anmeldung!$V28)-1)),0)=0,"",INDEX(Anmeldung!$E$18:$E$47,IFERROR(VALUE(LEFT(Anmeldung!$V28,FIND(":",Anmeldung!$V28)-1)),0))&amp;" "&amp;INDEX(Anmeldung!$D$18:$D$47,IFERROR(VALUE(LEFT(Anmeldung!$V28,FIND(":",Anmeldung!$V28)-1)),0))))</f>
        <v/>
      </c>
      <c r="F76" s="1" t="str">
        <f>IF($A76="","",Anmeldung!$B28&amp;", "&amp;IFERROR(VALUE(LEFT(Anmeldung!$V28,FIND(":",Anmeldung!$V28)-1)),0))</f>
        <v/>
      </c>
      <c r="G76" s="1" t="str">
        <f>IF($A76="","",Anmeldung!$G28)</f>
        <v/>
      </c>
      <c r="H76" s="1" t="str">
        <f>IF($A76="","",Anmeldung!$J28)</f>
        <v/>
      </c>
      <c r="I76" s="1" t="str">
        <f>IF($A76="","",Anmeldung!$I28)</f>
        <v/>
      </c>
      <c r="J76" s="1" t="str">
        <f t="shared" si="1"/>
        <v/>
      </c>
    </row>
    <row r="77" spans="1:10" ht="14.25" customHeight="1" x14ac:dyDescent="0.3">
      <c r="A77" s="1" t="str">
        <f>IF(AND(Anmeldung!$D28&lt;&gt;"",Anmeldung!$W28="Ja"),"Bruchtest","")</f>
        <v/>
      </c>
      <c r="B77" s="1" t="str">
        <f>IF($A77="","",IF(YEAR(Anmeldung!$F28)&gt;=2009,"Bruchtest 16-17 Jahre / JG 2010-2009 / 1,0 cm",IF(YEAR(Anmeldung!$F28)&gt;=1986,"Bruchtest 18-40 Jahre / JG 2008-1986 / 1,5 cm","Bruchtest ab 41 Jahre / JG ab 1985 / 1,0 cm")))</f>
        <v/>
      </c>
      <c r="C77" s="1" t="str">
        <f t="shared" si="0"/>
        <v/>
      </c>
      <c r="D77" s="1" t="str">
        <f t="shared" ref="D77:D79" si="12">IF($A77="","","Einzel")</f>
        <v/>
      </c>
      <c r="E77" s="1" t="str">
        <f>IF($A77="","",Anmeldung!$E28&amp;" "&amp;Anmeldung!$D28)</f>
        <v/>
      </c>
      <c r="F77" s="1" t="str">
        <f>IF($A77="","",Anmeldung!$B28)</f>
        <v/>
      </c>
      <c r="G77" s="1" t="str">
        <f>IF($A77="","",Anmeldung!$G28)</f>
        <v/>
      </c>
      <c r="H77" s="1" t="str">
        <f>IF($A77="","",Anmeldung!$J28)</f>
        <v/>
      </c>
      <c r="I77" s="1" t="str">
        <f>IF($A77="","",Anmeldung!$I28)</f>
        <v/>
      </c>
      <c r="J77" s="1" t="str">
        <f t="shared" si="1"/>
        <v/>
      </c>
    </row>
    <row r="78" spans="1:10" ht="14.25" customHeight="1" x14ac:dyDescent="0.3">
      <c r="A78" s="1" t="str">
        <f>IF(AND(Anmeldung!$D28&lt;&gt;"",Anmeldung!$X28="Ja"),"Speed-Kicking","")</f>
        <v/>
      </c>
      <c r="B78" s="1" t="str">
        <f>IF($A78="","",Anmeldung!$G28)</f>
        <v/>
      </c>
      <c r="C78" s="1" t="str">
        <f t="shared" si="0"/>
        <v/>
      </c>
      <c r="D78" s="1" t="str">
        <f t="shared" si="12"/>
        <v/>
      </c>
      <c r="E78" s="1" t="str">
        <f>IF($A78="","",Anmeldung!$E28&amp;" "&amp;Anmeldung!$D28)</f>
        <v/>
      </c>
      <c r="F78" s="1" t="str">
        <f>IF($A78="","",Anmeldung!$B28)</f>
        <v/>
      </c>
      <c r="G78" s="1" t="str">
        <f>IF($A78="","",Anmeldung!$G28)</f>
        <v/>
      </c>
      <c r="H78" s="1" t="str">
        <f>IF($A78="","",Anmeldung!$J28)</f>
        <v/>
      </c>
      <c r="I78" s="1" t="str">
        <f>IF($A78="","",Anmeldung!$I28)</f>
        <v/>
      </c>
      <c r="J78" s="1" t="str">
        <f t="shared" si="1"/>
        <v/>
      </c>
    </row>
    <row r="79" spans="1:10" ht="14.25" customHeight="1" x14ac:dyDescent="0.3">
      <c r="A79" s="1" t="str">
        <f>IF(AND(Anmeldung!$D29&lt;&gt;"",Anmeldung!$K29="Ja"),"Poomsae Einzel","")</f>
        <v/>
      </c>
      <c r="B79" s="1" t="str">
        <f>IF($A79="","",Anmeldung!$G29&amp;" / "&amp;Anmeldung!$J29)</f>
        <v/>
      </c>
      <c r="C79" s="1" t="str">
        <f t="shared" si="0"/>
        <v/>
      </c>
      <c r="D79" s="1" t="str">
        <f t="shared" si="12"/>
        <v/>
      </c>
      <c r="E79" s="1" t="str">
        <f>IF($A79="","",Anmeldung!$E29&amp;" "&amp;Anmeldung!$D29)</f>
        <v/>
      </c>
      <c r="F79" s="1" t="str">
        <f>IF($A79="","",Anmeldung!$B29)</f>
        <v/>
      </c>
      <c r="G79" s="1" t="str">
        <f>IF($A79="","",Anmeldung!$G29)</f>
        <v/>
      </c>
      <c r="H79" s="1" t="str">
        <f>IF($A79="","",Anmeldung!$J29)</f>
        <v/>
      </c>
      <c r="I79" s="1" t="str">
        <f>IF($A79="","",Anmeldung!$I29)</f>
        <v/>
      </c>
      <c r="J79" s="1" t="str">
        <f t="shared" si="1"/>
        <v/>
      </c>
    </row>
    <row r="80" spans="1:10" ht="14.25" customHeight="1" x14ac:dyDescent="0.3">
      <c r="A80" s="1" t="str">
        <f>IF(AND(Anmeldung!$D29&lt;&gt;"",Anmeldung!$L29="Ja",IFERROR(VALUE(LEFT(Anmeldung!$M29,FIND(":",Anmeldung!$M29)-1)),0)&gt;0,Anmeldung!$B29=MIN(Anmeldung!$B29,IFERROR(VALUE(LEFT(Anmeldung!$M29,FIND(":",Anmeldung!$M29)-1)),0))),"Poomsae Paar","")</f>
        <v/>
      </c>
      <c r="B80" s="1" t="str">
        <f>IF($A80="","",Anmeldung!$G29&amp;" / "&amp;Anmeldung!$J29)</f>
        <v/>
      </c>
      <c r="C80" s="1" t="str">
        <f t="shared" si="0"/>
        <v/>
      </c>
      <c r="D80" s="1" t="str">
        <f>IF($A80="","","Paar")</f>
        <v/>
      </c>
      <c r="E80" s="1" t="str">
        <f t="array" ref="E80">IF($A80="","",Anmeldung!$E29&amp;" "&amp;Anmeldung!$D29&amp;" / "&amp;IF(IFERROR(VALUE(LEFT(Anmeldung!$M29,FIND(":",Anmeldung!$M29)-1)),0)=0,"",INDEX(Anmeldung!$E$18:$E$47,IFERROR(VALUE(LEFT(Anmeldung!$M29,FIND(":",Anmeldung!$M29)-1)),0))&amp;" "&amp;INDEX(Anmeldung!$D$18:$D$47,IFERROR(VALUE(LEFT(Anmeldung!$M29,FIND(":",Anmeldung!$M29)-1)),0))))</f>
        <v/>
      </c>
      <c r="F80" s="1" t="str">
        <f>IF($A80="","",Anmeldung!$B29&amp;", "&amp;IFERROR(VALUE(LEFT(Anmeldung!$M29,FIND(":",Anmeldung!$M29)-1)),0))</f>
        <v/>
      </c>
      <c r="G80" s="1" t="str">
        <f>IF($A80="","",Anmeldung!$G29)</f>
        <v/>
      </c>
      <c r="H80" s="1" t="str">
        <f>IF($A80="","",Anmeldung!$J29)</f>
        <v/>
      </c>
      <c r="I80" s="1" t="str">
        <f>IF($A80="","",Anmeldung!$I29)</f>
        <v/>
      </c>
      <c r="J80" s="1" t="str">
        <f t="shared" si="1"/>
        <v/>
      </c>
    </row>
    <row r="81" spans="1:10" ht="14.25" customHeight="1" x14ac:dyDescent="0.3">
      <c r="A81" s="1" t="str">
        <f>IF(AND(Anmeldung!$D29&lt;&gt;"",Anmeldung!$N29="Ja",IFERROR(VALUE(LEFT(Anmeldung!$O29,FIND(":",Anmeldung!$O29)-1)),0)&gt;0,IFERROR(VALUE(LEFT(Anmeldung!$P29,FIND(":",Anmeldung!$P29)-1)),0)&gt;0,Anmeldung!$B29=MIN(Anmeldung!$B29,IFERROR(VALUE(LEFT(Anmeldung!$O29,FIND(":",Anmeldung!$O29)-1)),0),IFERROR(VALUE(LEFT(Anmeldung!$P29,FIND(":",Anmeldung!$P29)-1)),0))),"Poomsae Team","")</f>
        <v/>
      </c>
      <c r="B81" s="1" t="str">
        <f>IF($A81="","",Anmeldung!$G29&amp;" / "&amp;Anmeldung!$J29)</f>
        <v/>
      </c>
      <c r="C81" s="1" t="str">
        <f t="shared" si="0"/>
        <v/>
      </c>
      <c r="D81" s="1" t="str">
        <f>IF($A81="","","Team")</f>
        <v/>
      </c>
      <c r="E81" s="1" t="str">
        <f t="array" ref="E81">IF($A81="","",Anmeldung!$E29&amp;" "&amp;Anmeldung!$D29&amp;" / "&amp;IF(IFERROR(VALUE(LEFT(Anmeldung!$O29,FIND(":",Anmeldung!$O29)-1)),0)=0,"",INDEX(Anmeldung!$E$18:$E$47,IFERROR(VALUE(LEFT(Anmeldung!$O29,FIND(":",Anmeldung!$O29)-1)),0))&amp;" "&amp;INDEX(Anmeldung!$D$18:$D$47,IFERROR(VALUE(LEFT(Anmeldung!$O29,FIND(":",Anmeldung!$O29)-1)),0)))&amp;" / "&amp;IF(IFERROR(VALUE(LEFT(Anmeldung!$P29,FIND(":",Anmeldung!$P29)-1)),0)=0,"",INDEX(Anmeldung!$E$18:$E$47,IFERROR(VALUE(LEFT(Anmeldung!$P29,FIND(":",Anmeldung!$P29)-1)),0))&amp;" "&amp;INDEX(Anmeldung!$D$18:$D$47,IFERROR(VALUE(LEFT(Anmeldung!$P29,FIND(":",Anmeldung!$P29)-1)),0))))</f>
        <v/>
      </c>
      <c r="F81" s="1" t="str">
        <f>IF($A81="","",Anmeldung!$B29&amp;", "&amp;IFERROR(VALUE(LEFT(Anmeldung!$O29,FIND(":",Anmeldung!$O29)-1)),0)&amp;", "&amp;IFERROR(VALUE(LEFT(Anmeldung!$P29,FIND(":",Anmeldung!$P29)-1)),0))</f>
        <v/>
      </c>
      <c r="G81" s="1" t="str">
        <f>IF($A81="","",Anmeldung!$G29)</f>
        <v/>
      </c>
      <c r="H81" s="1" t="str">
        <f>IF($A81="","",Anmeldung!$J29)</f>
        <v/>
      </c>
      <c r="I81" s="1" t="str">
        <f>IF($A81="","",Anmeldung!$I29)</f>
        <v/>
      </c>
      <c r="J81" s="1" t="str">
        <f t="shared" si="1"/>
        <v/>
      </c>
    </row>
    <row r="82" spans="1:10" ht="14.25" customHeight="1" x14ac:dyDescent="0.3">
      <c r="A82" s="1" t="str">
        <f>IF(AND(Anmeldung!$D29&lt;&gt;"",Anmeldung!$Q29="Ja",IFERROR(VALUE(LEFT(Anmeldung!$R29,FIND(":",Anmeldung!$R29)-1)),0)&gt;0,Anmeldung!$B29=MIN(Anmeldung!$B29,IFERROR(VALUE(LEFT(Anmeldung!$R29,FIND(":",Anmeldung!$R29)-1)),0),IF(IFERROR(VALUE(LEFT(Anmeldung!$S29,FIND(":",Anmeldung!$S29)-1)),0)=0,999,IFERROR(VALUE(LEFT(Anmeldung!$S29,FIND(":",Anmeldung!$S29)-1)),0)))),"Poomsae Family","")</f>
        <v/>
      </c>
      <c r="B82" s="1" t="str">
        <f>IF($A82="","","Poomsae Family / "&amp;Anmeldung!$T29)</f>
        <v/>
      </c>
      <c r="C82" s="1" t="str">
        <f t="shared" si="0"/>
        <v/>
      </c>
      <c r="D82" s="1" t="str">
        <f>IF($A82="","","Family")</f>
        <v/>
      </c>
      <c r="E82" s="1" t="str">
        <f t="array" ref="E82">IF($A82="","",Anmeldung!$E29&amp;" "&amp;Anmeldung!$D29&amp;" / "&amp;IF(IFERROR(VALUE(LEFT(Anmeldung!$R29,FIND(":",Anmeldung!$R29)-1)),0)=0,"",INDEX(Anmeldung!$E$18:$E$47,IFERROR(VALUE(LEFT(Anmeldung!$R29,FIND(":",Anmeldung!$R29)-1)),0))&amp;" "&amp;INDEX(Anmeldung!$D$18:$D$47,IFERROR(VALUE(LEFT(Anmeldung!$R29,FIND(":",Anmeldung!$R29)-1)),0)))&amp;IF(IFERROR(VALUE(LEFT(Anmeldung!$S29,FIND(":",Anmeldung!$S29)-1)),0)&gt;0," / "&amp;IF(IFERROR(VALUE(LEFT(Anmeldung!$S29,FIND(":",Anmeldung!$S29)-1)),0)=0,"",INDEX(Anmeldung!$E$18:$E$47,IFERROR(VALUE(LEFT(Anmeldung!$S29,FIND(":",Anmeldung!$S29)-1)),0))&amp;" "&amp;INDEX(Anmeldung!$D$18:$D$47,IFERROR(VALUE(LEFT(Anmeldung!$S29,FIND(":",Anmeldung!$S29)-1)),0))),""))</f>
        <v/>
      </c>
      <c r="F82" s="1" t="str">
        <f>IF($A82="","",Anmeldung!$B29&amp;", "&amp;IFERROR(VALUE(LEFT(Anmeldung!$R29,FIND(":",Anmeldung!$R29)-1)),0)&amp;IF(IFERROR(VALUE(LEFT(Anmeldung!$S29,FIND(":",Anmeldung!$S29)-1)),0)&gt;0,", "&amp;IFERROR(VALUE(LEFT(Anmeldung!$S29,FIND(":",Anmeldung!$S29)-1)),0),""))</f>
        <v/>
      </c>
      <c r="G82" s="1" t="str">
        <f>IF($A82="","","-")</f>
        <v/>
      </c>
      <c r="H82" s="1" t="str">
        <f>IF($A82="","",Anmeldung!$T29)</f>
        <v/>
      </c>
      <c r="I82" s="1" t="str">
        <f>IF($A82="","","niedrigste Graduierung")</f>
        <v/>
      </c>
      <c r="J82" s="1" t="str">
        <f t="shared" si="1"/>
        <v/>
      </c>
    </row>
    <row r="83" spans="1:10" ht="14.25" customHeight="1" x14ac:dyDescent="0.3">
      <c r="A83" s="1" t="str">
        <f>IF(AND(Anmeldung!$D29&lt;&gt;"",Anmeldung!$U29="Ja",IFERROR(VALUE(LEFT(Anmeldung!$V29,FIND(":",Anmeldung!$V29)-1)),0)&gt;0,Anmeldung!$B29=MIN(Anmeldung!$B29,IFERROR(VALUE(LEFT(Anmeldung!$V29,FIND(":",Anmeldung!$V29)-1)),0))),"Einschrittkampf","")</f>
        <v/>
      </c>
      <c r="B83" s="1" t="str">
        <f>IF($A83="","",Anmeldung!$G29&amp;" / "&amp;Anmeldung!$J29)</f>
        <v/>
      </c>
      <c r="C83" s="1" t="str">
        <f t="shared" si="0"/>
        <v/>
      </c>
      <c r="D83" s="1" t="str">
        <f>IF($A83="","","Paar")</f>
        <v/>
      </c>
      <c r="E83" s="1" t="str">
        <f t="array" ref="E83">IF($A83="","",Anmeldung!$E29&amp;" "&amp;Anmeldung!$D29&amp;" / "&amp;IF(IFERROR(VALUE(LEFT(Anmeldung!$V29,FIND(":",Anmeldung!$V29)-1)),0)=0,"",INDEX(Anmeldung!$E$18:$E$47,IFERROR(VALUE(LEFT(Anmeldung!$V29,FIND(":",Anmeldung!$V29)-1)),0))&amp;" "&amp;INDEX(Anmeldung!$D$18:$D$47,IFERROR(VALUE(LEFT(Anmeldung!$V29,FIND(":",Anmeldung!$V29)-1)),0))))</f>
        <v/>
      </c>
      <c r="F83" s="1" t="str">
        <f>IF($A83="","",Anmeldung!$B29&amp;", "&amp;IFERROR(VALUE(LEFT(Anmeldung!$V29,FIND(":",Anmeldung!$V29)-1)),0))</f>
        <v/>
      </c>
      <c r="G83" s="1" t="str">
        <f>IF($A83="","",Anmeldung!$G29)</f>
        <v/>
      </c>
      <c r="H83" s="1" t="str">
        <f>IF($A83="","",Anmeldung!$J29)</f>
        <v/>
      </c>
      <c r="I83" s="1" t="str">
        <f>IF($A83="","",Anmeldung!$I29)</f>
        <v/>
      </c>
      <c r="J83" s="1" t="str">
        <f t="shared" si="1"/>
        <v/>
      </c>
    </row>
    <row r="84" spans="1:10" ht="14.25" customHeight="1" x14ac:dyDescent="0.3">
      <c r="A84" s="1" t="str">
        <f>IF(AND(Anmeldung!$D29&lt;&gt;"",Anmeldung!$W29="Ja"),"Bruchtest","")</f>
        <v/>
      </c>
      <c r="B84" s="1" t="str">
        <f>IF($A84="","",IF(YEAR(Anmeldung!$F29)&gt;=2009,"Bruchtest 16-17 Jahre / JG 2010-2009 / 1,0 cm",IF(YEAR(Anmeldung!$F29)&gt;=1986,"Bruchtest 18-40 Jahre / JG 2008-1986 / 1,5 cm","Bruchtest ab 41 Jahre / JG ab 1985 / 1,0 cm")))</f>
        <v/>
      </c>
      <c r="C84" s="1" t="str">
        <f t="shared" si="0"/>
        <v/>
      </c>
      <c r="D84" s="1" t="str">
        <f t="shared" ref="D84:D86" si="13">IF($A84="","","Einzel")</f>
        <v/>
      </c>
      <c r="E84" s="1" t="str">
        <f>IF($A84="","",Anmeldung!$E29&amp;" "&amp;Anmeldung!$D29)</f>
        <v/>
      </c>
      <c r="F84" s="1" t="str">
        <f>IF($A84="","",Anmeldung!$B29)</f>
        <v/>
      </c>
      <c r="G84" s="1" t="str">
        <f>IF($A84="","",Anmeldung!$G29)</f>
        <v/>
      </c>
      <c r="H84" s="1" t="str">
        <f>IF($A84="","",Anmeldung!$J29)</f>
        <v/>
      </c>
      <c r="I84" s="1" t="str">
        <f>IF($A84="","",Anmeldung!$I29)</f>
        <v/>
      </c>
      <c r="J84" s="1" t="str">
        <f t="shared" si="1"/>
        <v/>
      </c>
    </row>
    <row r="85" spans="1:10" ht="14.25" customHeight="1" x14ac:dyDescent="0.3">
      <c r="A85" s="1" t="str">
        <f>IF(AND(Anmeldung!$D29&lt;&gt;"",Anmeldung!$X29="Ja"),"Speed-Kicking","")</f>
        <v/>
      </c>
      <c r="B85" s="1" t="str">
        <f>IF($A85="","",Anmeldung!$G29)</f>
        <v/>
      </c>
      <c r="C85" s="1" t="str">
        <f t="shared" si="0"/>
        <v/>
      </c>
      <c r="D85" s="1" t="str">
        <f t="shared" si="13"/>
        <v/>
      </c>
      <c r="E85" s="1" t="str">
        <f>IF($A85="","",Anmeldung!$E29&amp;" "&amp;Anmeldung!$D29)</f>
        <v/>
      </c>
      <c r="F85" s="1" t="str">
        <f>IF($A85="","",Anmeldung!$B29)</f>
        <v/>
      </c>
      <c r="G85" s="1" t="str">
        <f>IF($A85="","",Anmeldung!$G29)</f>
        <v/>
      </c>
      <c r="H85" s="1" t="str">
        <f>IF($A85="","",Anmeldung!$J29)</f>
        <v/>
      </c>
      <c r="I85" s="1" t="str">
        <f>IF($A85="","",Anmeldung!$I29)</f>
        <v/>
      </c>
      <c r="J85" s="1" t="str">
        <f t="shared" si="1"/>
        <v/>
      </c>
    </row>
    <row r="86" spans="1:10" ht="14.25" customHeight="1" x14ac:dyDescent="0.3">
      <c r="A86" s="1" t="str">
        <f>IF(AND(Anmeldung!$D30&lt;&gt;"",Anmeldung!$K30="Ja"),"Poomsae Einzel","")</f>
        <v/>
      </c>
      <c r="B86" s="1" t="str">
        <f>IF($A86="","",Anmeldung!$G30&amp;" / "&amp;Anmeldung!$J30)</f>
        <v/>
      </c>
      <c r="C86" s="1" t="str">
        <f t="shared" si="0"/>
        <v/>
      </c>
      <c r="D86" s="1" t="str">
        <f t="shared" si="13"/>
        <v/>
      </c>
      <c r="E86" s="1" t="str">
        <f>IF($A86="","",Anmeldung!$E30&amp;" "&amp;Anmeldung!$D30)</f>
        <v/>
      </c>
      <c r="F86" s="1" t="str">
        <f>IF($A86="","",Anmeldung!$B30)</f>
        <v/>
      </c>
      <c r="G86" s="1" t="str">
        <f>IF($A86="","",Anmeldung!$G30)</f>
        <v/>
      </c>
      <c r="H86" s="1" t="str">
        <f>IF($A86="","",Anmeldung!$J30)</f>
        <v/>
      </c>
      <c r="I86" s="1" t="str">
        <f>IF($A86="","",Anmeldung!$I30)</f>
        <v/>
      </c>
      <c r="J86" s="1" t="str">
        <f t="shared" si="1"/>
        <v/>
      </c>
    </row>
    <row r="87" spans="1:10" ht="14.25" customHeight="1" x14ac:dyDescent="0.3">
      <c r="A87" s="1" t="str">
        <f>IF(AND(Anmeldung!$D30&lt;&gt;"",Anmeldung!$L30="Ja",IFERROR(VALUE(LEFT(Anmeldung!$M30,FIND(":",Anmeldung!$M30)-1)),0)&gt;0,Anmeldung!$B30=MIN(Anmeldung!$B30,IFERROR(VALUE(LEFT(Anmeldung!$M30,FIND(":",Anmeldung!$M30)-1)),0))),"Poomsae Paar","")</f>
        <v/>
      </c>
      <c r="B87" s="1" t="str">
        <f>IF($A87="","",Anmeldung!$G30&amp;" / "&amp;Anmeldung!$J30)</f>
        <v/>
      </c>
      <c r="C87" s="1" t="str">
        <f t="shared" si="0"/>
        <v/>
      </c>
      <c r="D87" s="1" t="str">
        <f>IF($A87="","","Paar")</f>
        <v/>
      </c>
      <c r="E87" s="1" t="str">
        <f t="array" ref="E87">IF($A87="","",Anmeldung!$E30&amp;" "&amp;Anmeldung!$D30&amp;" / "&amp;IF(IFERROR(VALUE(LEFT(Anmeldung!$M30,FIND(":",Anmeldung!$M30)-1)),0)=0,"",INDEX(Anmeldung!$E$18:$E$47,IFERROR(VALUE(LEFT(Anmeldung!$M30,FIND(":",Anmeldung!$M30)-1)),0))&amp;" "&amp;INDEX(Anmeldung!$D$18:$D$47,IFERROR(VALUE(LEFT(Anmeldung!$M30,FIND(":",Anmeldung!$M30)-1)),0))))</f>
        <v/>
      </c>
      <c r="F87" s="1" t="str">
        <f>IF($A87="","",Anmeldung!$B30&amp;", "&amp;IFERROR(VALUE(LEFT(Anmeldung!$M30,FIND(":",Anmeldung!$M30)-1)),0))</f>
        <v/>
      </c>
      <c r="G87" s="1" t="str">
        <f>IF($A87="","",Anmeldung!$G30)</f>
        <v/>
      </c>
      <c r="H87" s="1" t="str">
        <f>IF($A87="","",Anmeldung!$J30)</f>
        <v/>
      </c>
      <c r="I87" s="1" t="str">
        <f>IF($A87="","",Anmeldung!$I30)</f>
        <v/>
      </c>
      <c r="J87" s="1" t="str">
        <f t="shared" si="1"/>
        <v/>
      </c>
    </row>
    <row r="88" spans="1:10" ht="14.25" customHeight="1" x14ac:dyDescent="0.3">
      <c r="A88" s="1" t="str">
        <f>IF(AND(Anmeldung!$D30&lt;&gt;"",Anmeldung!$N30="Ja",IFERROR(VALUE(LEFT(Anmeldung!$O30,FIND(":",Anmeldung!$O30)-1)),0)&gt;0,IFERROR(VALUE(LEFT(Anmeldung!$P30,FIND(":",Anmeldung!$P30)-1)),0)&gt;0,Anmeldung!$B30=MIN(Anmeldung!$B30,IFERROR(VALUE(LEFT(Anmeldung!$O30,FIND(":",Anmeldung!$O30)-1)),0),IFERROR(VALUE(LEFT(Anmeldung!$P30,FIND(":",Anmeldung!$P30)-1)),0))),"Poomsae Team","")</f>
        <v/>
      </c>
      <c r="B88" s="1" t="str">
        <f>IF($A88="","",Anmeldung!$G30&amp;" / "&amp;Anmeldung!$J30)</f>
        <v/>
      </c>
      <c r="C88" s="1" t="str">
        <f t="shared" si="0"/>
        <v/>
      </c>
      <c r="D88" s="1" t="str">
        <f>IF($A88="","","Team")</f>
        <v/>
      </c>
      <c r="E88" s="1" t="str">
        <f t="array" ref="E88">IF($A88="","",Anmeldung!$E30&amp;" "&amp;Anmeldung!$D30&amp;" / "&amp;IF(IFERROR(VALUE(LEFT(Anmeldung!$O30,FIND(":",Anmeldung!$O30)-1)),0)=0,"",INDEX(Anmeldung!$E$18:$E$47,IFERROR(VALUE(LEFT(Anmeldung!$O30,FIND(":",Anmeldung!$O30)-1)),0))&amp;" "&amp;INDEX(Anmeldung!$D$18:$D$47,IFERROR(VALUE(LEFT(Anmeldung!$O30,FIND(":",Anmeldung!$O30)-1)),0)))&amp;" / "&amp;IF(IFERROR(VALUE(LEFT(Anmeldung!$P30,FIND(":",Anmeldung!$P30)-1)),0)=0,"",INDEX(Anmeldung!$E$18:$E$47,IFERROR(VALUE(LEFT(Anmeldung!$P30,FIND(":",Anmeldung!$P30)-1)),0))&amp;" "&amp;INDEX(Anmeldung!$D$18:$D$47,IFERROR(VALUE(LEFT(Anmeldung!$P30,FIND(":",Anmeldung!$P30)-1)),0))))</f>
        <v/>
      </c>
      <c r="F88" s="1" t="str">
        <f>IF($A88="","",Anmeldung!$B30&amp;", "&amp;IFERROR(VALUE(LEFT(Anmeldung!$O30,FIND(":",Anmeldung!$O30)-1)),0)&amp;", "&amp;IFERROR(VALUE(LEFT(Anmeldung!$P30,FIND(":",Anmeldung!$P30)-1)),0))</f>
        <v/>
      </c>
      <c r="G88" s="1" t="str">
        <f>IF($A88="","",Anmeldung!$G30)</f>
        <v/>
      </c>
      <c r="H88" s="1" t="str">
        <f>IF($A88="","",Anmeldung!$J30)</f>
        <v/>
      </c>
      <c r="I88" s="1" t="str">
        <f>IF($A88="","",Anmeldung!$I30)</f>
        <v/>
      </c>
      <c r="J88" s="1" t="str">
        <f t="shared" si="1"/>
        <v/>
      </c>
    </row>
    <row r="89" spans="1:10" ht="14.25" customHeight="1" x14ac:dyDescent="0.3">
      <c r="A89" s="1" t="str">
        <f>IF(AND(Anmeldung!$D30&lt;&gt;"",Anmeldung!$Q30="Ja",IFERROR(VALUE(LEFT(Anmeldung!$R30,FIND(":",Anmeldung!$R30)-1)),0)&gt;0,Anmeldung!$B30=MIN(Anmeldung!$B30,IFERROR(VALUE(LEFT(Anmeldung!$R30,FIND(":",Anmeldung!$R30)-1)),0),IF(IFERROR(VALUE(LEFT(Anmeldung!$S30,FIND(":",Anmeldung!$S30)-1)),0)=0,999,IFERROR(VALUE(LEFT(Anmeldung!$S30,FIND(":",Anmeldung!$S30)-1)),0)))),"Poomsae Family","")</f>
        <v/>
      </c>
      <c r="B89" s="1" t="str">
        <f>IF($A89="","","Poomsae Family / "&amp;Anmeldung!$T30)</f>
        <v/>
      </c>
      <c r="C89" s="1" t="str">
        <f t="shared" si="0"/>
        <v/>
      </c>
      <c r="D89" s="1" t="str">
        <f>IF($A89="","","Family")</f>
        <v/>
      </c>
      <c r="E89" s="1" t="str">
        <f t="array" ref="E89">IF($A89="","",Anmeldung!$E30&amp;" "&amp;Anmeldung!$D30&amp;" / "&amp;IF(IFERROR(VALUE(LEFT(Anmeldung!$R30,FIND(":",Anmeldung!$R30)-1)),0)=0,"",INDEX(Anmeldung!$E$18:$E$47,IFERROR(VALUE(LEFT(Anmeldung!$R30,FIND(":",Anmeldung!$R30)-1)),0))&amp;" "&amp;INDEX(Anmeldung!$D$18:$D$47,IFERROR(VALUE(LEFT(Anmeldung!$R30,FIND(":",Anmeldung!$R30)-1)),0)))&amp;IF(IFERROR(VALUE(LEFT(Anmeldung!$S30,FIND(":",Anmeldung!$S30)-1)),0)&gt;0," / "&amp;IF(IFERROR(VALUE(LEFT(Anmeldung!$S30,FIND(":",Anmeldung!$S30)-1)),0)=0,"",INDEX(Anmeldung!$E$18:$E$47,IFERROR(VALUE(LEFT(Anmeldung!$S30,FIND(":",Anmeldung!$S30)-1)),0))&amp;" "&amp;INDEX(Anmeldung!$D$18:$D$47,IFERROR(VALUE(LEFT(Anmeldung!$S30,FIND(":",Anmeldung!$S30)-1)),0))),""))</f>
        <v/>
      </c>
      <c r="F89" s="1" t="str">
        <f>IF($A89="","",Anmeldung!$B30&amp;", "&amp;IFERROR(VALUE(LEFT(Anmeldung!$R30,FIND(":",Anmeldung!$R30)-1)),0)&amp;IF(IFERROR(VALUE(LEFT(Anmeldung!$S30,FIND(":",Anmeldung!$S30)-1)),0)&gt;0,", "&amp;IFERROR(VALUE(LEFT(Anmeldung!$S30,FIND(":",Anmeldung!$S30)-1)),0),""))</f>
        <v/>
      </c>
      <c r="G89" s="1" t="str">
        <f>IF($A89="","","-")</f>
        <v/>
      </c>
      <c r="H89" s="1" t="str">
        <f>IF($A89="","",Anmeldung!$T30)</f>
        <v/>
      </c>
      <c r="I89" s="1" t="str">
        <f>IF($A89="","","niedrigste Graduierung")</f>
        <v/>
      </c>
      <c r="J89" s="1" t="str">
        <f t="shared" si="1"/>
        <v/>
      </c>
    </row>
    <row r="90" spans="1:10" ht="14.25" customHeight="1" x14ac:dyDescent="0.3">
      <c r="A90" s="1" t="str">
        <f>IF(AND(Anmeldung!$D30&lt;&gt;"",Anmeldung!$U30="Ja",IFERROR(VALUE(LEFT(Anmeldung!$V30,FIND(":",Anmeldung!$V30)-1)),0)&gt;0,Anmeldung!$B30=MIN(Anmeldung!$B30,IFERROR(VALUE(LEFT(Anmeldung!$V30,FIND(":",Anmeldung!$V30)-1)),0))),"Einschrittkampf","")</f>
        <v/>
      </c>
      <c r="B90" s="1" t="str">
        <f>IF($A90="","",Anmeldung!$G30&amp;" / "&amp;Anmeldung!$J30)</f>
        <v/>
      </c>
      <c r="C90" s="1" t="str">
        <f t="shared" si="0"/>
        <v/>
      </c>
      <c r="D90" s="1" t="str">
        <f>IF($A90="","","Paar")</f>
        <v/>
      </c>
      <c r="E90" s="1" t="str">
        <f t="array" ref="E90">IF($A90="","",Anmeldung!$E30&amp;" "&amp;Anmeldung!$D30&amp;" / "&amp;IF(IFERROR(VALUE(LEFT(Anmeldung!$V30,FIND(":",Anmeldung!$V30)-1)),0)=0,"",INDEX(Anmeldung!$E$18:$E$47,IFERROR(VALUE(LEFT(Anmeldung!$V30,FIND(":",Anmeldung!$V30)-1)),0))&amp;" "&amp;INDEX(Anmeldung!$D$18:$D$47,IFERROR(VALUE(LEFT(Anmeldung!$V30,FIND(":",Anmeldung!$V30)-1)),0))))</f>
        <v/>
      </c>
      <c r="F90" s="1" t="str">
        <f>IF($A90="","",Anmeldung!$B30&amp;", "&amp;IFERROR(VALUE(LEFT(Anmeldung!$V30,FIND(":",Anmeldung!$V30)-1)),0))</f>
        <v/>
      </c>
      <c r="G90" s="1" t="str">
        <f>IF($A90="","",Anmeldung!$G30)</f>
        <v/>
      </c>
      <c r="H90" s="1" t="str">
        <f>IF($A90="","",Anmeldung!$J30)</f>
        <v/>
      </c>
      <c r="I90" s="1" t="str">
        <f>IF($A90="","",Anmeldung!$I30)</f>
        <v/>
      </c>
      <c r="J90" s="1" t="str">
        <f t="shared" si="1"/>
        <v/>
      </c>
    </row>
    <row r="91" spans="1:10" ht="14.25" customHeight="1" x14ac:dyDescent="0.3">
      <c r="A91" s="1" t="str">
        <f>IF(AND(Anmeldung!$D30&lt;&gt;"",Anmeldung!$W30="Ja"),"Bruchtest","")</f>
        <v/>
      </c>
      <c r="B91" s="1" t="str">
        <f>IF($A91="","",IF(YEAR(Anmeldung!$F30)&gt;=2009,"Bruchtest 16-17 Jahre / JG 2010-2009 / 1,0 cm",IF(YEAR(Anmeldung!$F30)&gt;=1986,"Bruchtest 18-40 Jahre / JG 2008-1986 / 1,5 cm","Bruchtest ab 41 Jahre / JG ab 1985 / 1,0 cm")))</f>
        <v/>
      </c>
      <c r="C91" s="1" t="str">
        <f t="shared" si="0"/>
        <v/>
      </c>
      <c r="D91" s="1" t="str">
        <f t="shared" ref="D91:D93" si="14">IF($A91="","","Einzel")</f>
        <v/>
      </c>
      <c r="E91" s="1" t="str">
        <f>IF($A91="","",Anmeldung!$E30&amp;" "&amp;Anmeldung!$D30)</f>
        <v/>
      </c>
      <c r="F91" s="1" t="str">
        <f>IF($A91="","",Anmeldung!$B30)</f>
        <v/>
      </c>
      <c r="G91" s="1" t="str">
        <f>IF($A91="","",Anmeldung!$G30)</f>
        <v/>
      </c>
      <c r="H91" s="1" t="str">
        <f>IF($A91="","",Anmeldung!$J30)</f>
        <v/>
      </c>
      <c r="I91" s="1" t="str">
        <f>IF($A91="","",Anmeldung!$I30)</f>
        <v/>
      </c>
      <c r="J91" s="1" t="str">
        <f t="shared" si="1"/>
        <v/>
      </c>
    </row>
    <row r="92" spans="1:10" ht="14.25" customHeight="1" x14ac:dyDescent="0.3">
      <c r="A92" s="1" t="str">
        <f>IF(AND(Anmeldung!$D30&lt;&gt;"",Anmeldung!$X30="Ja"),"Speed-Kicking","")</f>
        <v/>
      </c>
      <c r="B92" s="1" t="str">
        <f>IF($A92="","",Anmeldung!$G30)</f>
        <v/>
      </c>
      <c r="C92" s="1" t="str">
        <f t="shared" si="0"/>
        <v/>
      </c>
      <c r="D92" s="1" t="str">
        <f t="shared" si="14"/>
        <v/>
      </c>
      <c r="E92" s="1" t="str">
        <f>IF($A92="","",Anmeldung!$E30&amp;" "&amp;Anmeldung!$D30)</f>
        <v/>
      </c>
      <c r="F92" s="1" t="str">
        <f>IF($A92="","",Anmeldung!$B30)</f>
        <v/>
      </c>
      <c r="G92" s="1" t="str">
        <f>IF($A92="","",Anmeldung!$G30)</f>
        <v/>
      </c>
      <c r="H92" s="1" t="str">
        <f>IF($A92="","",Anmeldung!$J30)</f>
        <v/>
      </c>
      <c r="I92" s="1" t="str">
        <f>IF($A92="","",Anmeldung!$I30)</f>
        <v/>
      </c>
      <c r="J92" s="1" t="str">
        <f t="shared" si="1"/>
        <v/>
      </c>
    </row>
    <row r="93" spans="1:10" ht="14.25" customHeight="1" x14ac:dyDescent="0.3">
      <c r="A93" s="1" t="str">
        <f>IF(AND(Anmeldung!$D31&lt;&gt;"",Anmeldung!$K31="Ja"),"Poomsae Einzel","")</f>
        <v/>
      </c>
      <c r="B93" s="1" t="str">
        <f>IF($A93="","",Anmeldung!$G31&amp;" / "&amp;Anmeldung!$J31)</f>
        <v/>
      </c>
      <c r="C93" s="1" t="str">
        <f t="shared" si="0"/>
        <v/>
      </c>
      <c r="D93" s="1" t="str">
        <f t="shared" si="14"/>
        <v/>
      </c>
      <c r="E93" s="1" t="str">
        <f>IF($A93="","",Anmeldung!$E31&amp;" "&amp;Anmeldung!$D31)</f>
        <v/>
      </c>
      <c r="F93" s="1" t="str">
        <f>IF($A93="","",Anmeldung!$B31)</f>
        <v/>
      </c>
      <c r="G93" s="1" t="str">
        <f>IF($A93="","",Anmeldung!$G31)</f>
        <v/>
      </c>
      <c r="H93" s="1" t="str">
        <f>IF($A93="","",Anmeldung!$J31)</f>
        <v/>
      </c>
      <c r="I93" s="1" t="str">
        <f>IF($A93="","",Anmeldung!$I31)</f>
        <v/>
      </c>
      <c r="J93" s="1" t="str">
        <f t="shared" si="1"/>
        <v/>
      </c>
    </row>
    <row r="94" spans="1:10" ht="14.25" customHeight="1" x14ac:dyDescent="0.3">
      <c r="A94" s="1" t="str">
        <f>IF(AND(Anmeldung!$D31&lt;&gt;"",Anmeldung!$L31="Ja",IFERROR(VALUE(LEFT(Anmeldung!$M31,FIND(":",Anmeldung!$M31)-1)),0)&gt;0,Anmeldung!$B31=MIN(Anmeldung!$B31,IFERROR(VALUE(LEFT(Anmeldung!$M31,FIND(":",Anmeldung!$M31)-1)),0))),"Poomsae Paar","")</f>
        <v/>
      </c>
      <c r="B94" s="1" t="str">
        <f>IF($A94="","",Anmeldung!$G31&amp;" / "&amp;Anmeldung!$J31)</f>
        <v/>
      </c>
      <c r="C94" s="1" t="str">
        <f t="shared" si="0"/>
        <v/>
      </c>
      <c r="D94" s="1" t="str">
        <f>IF($A94="","","Paar")</f>
        <v/>
      </c>
      <c r="E94" s="1" t="str">
        <f t="array" ref="E94">IF($A94="","",Anmeldung!$E31&amp;" "&amp;Anmeldung!$D31&amp;" / "&amp;IF(IFERROR(VALUE(LEFT(Anmeldung!$M31,FIND(":",Anmeldung!$M31)-1)),0)=0,"",INDEX(Anmeldung!$E$18:$E$47,IFERROR(VALUE(LEFT(Anmeldung!$M31,FIND(":",Anmeldung!$M31)-1)),0))&amp;" "&amp;INDEX(Anmeldung!$D$18:$D$47,IFERROR(VALUE(LEFT(Anmeldung!$M31,FIND(":",Anmeldung!$M31)-1)),0))))</f>
        <v/>
      </c>
      <c r="F94" s="1" t="str">
        <f>IF($A94="","",Anmeldung!$B31&amp;", "&amp;IFERROR(VALUE(LEFT(Anmeldung!$M31,FIND(":",Anmeldung!$M31)-1)),0))</f>
        <v/>
      </c>
      <c r="G94" s="1" t="str">
        <f>IF($A94="","",Anmeldung!$G31)</f>
        <v/>
      </c>
      <c r="H94" s="1" t="str">
        <f>IF($A94="","",Anmeldung!$J31)</f>
        <v/>
      </c>
      <c r="I94" s="1" t="str">
        <f>IF($A94="","",Anmeldung!$I31)</f>
        <v/>
      </c>
      <c r="J94" s="1" t="str">
        <f t="shared" si="1"/>
        <v/>
      </c>
    </row>
    <row r="95" spans="1:10" ht="14.25" customHeight="1" x14ac:dyDescent="0.3">
      <c r="A95" s="1" t="str">
        <f>IF(AND(Anmeldung!$D31&lt;&gt;"",Anmeldung!$N31="Ja",IFERROR(VALUE(LEFT(Anmeldung!$O31,FIND(":",Anmeldung!$O31)-1)),0)&gt;0,IFERROR(VALUE(LEFT(Anmeldung!$P31,FIND(":",Anmeldung!$P31)-1)),0)&gt;0,Anmeldung!$B31=MIN(Anmeldung!$B31,IFERROR(VALUE(LEFT(Anmeldung!$O31,FIND(":",Anmeldung!$O31)-1)),0),IFERROR(VALUE(LEFT(Anmeldung!$P31,FIND(":",Anmeldung!$P31)-1)),0))),"Poomsae Team","")</f>
        <v/>
      </c>
      <c r="B95" s="1" t="str">
        <f>IF($A95="","",Anmeldung!$G31&amp;" / "&amp;Anmeldung!$J31)</f>
        <v/>
      </c>
      <c r="C95" s="1" t="str">
        <f t="shared" si="0"/>
        <v/>
      </c>
      <c r="D95" s="1" t="str">
        <f>IF($A95="","","Team")</f>
        <v/>
      </c>
      <c r="E95" s="1" t="str">
        <f t="array" ref="E95">IF($A95="","",Anmeldung!$E31&amp;" "&amp;Anmeldung!$D31&amp;" / "&amp;IF(IFERROR(VALUE(LEFT(Anmeldung!$O31,FIND(":",Anmeldung!$O31)-1)),0)=0,"",INDEX(Anmeldung!$E$18:$E$47,IFERROR(VALUE(LEFT(Anmeldung!$O31,FIND(":",Anmeldung!$O31)-1)),0))&amp;" "&amp;INDEX(Anmeldung!$D$18:$D$47,IFERROR(VALUE(LEFT(Anmeldung!$O31,FIND(":",Anmeldung!$O31)-1)),0)))&amp;" / "&amp;IF(IFERROR(VALUE(LEFT(Anmeldung!$P31,FIND(":",Anmeldung!$P31)-1)),0)=0,"",INDEX(Anmeldung!$E$18:$E$47,IFERROR(VALUE(LEFT(Anmeldung!$P31,FIND(":",Anmeldung!$P31)-1)),0))&amp;" "&amp;INDEX(Anmeldung!$D$18:$D$47,IFERROR(VALUE(LEFT(Anmeldung!$P31,FIND(":",Anmeldung!$P31)-1)),0))))</f>
        <v/>
      </c>
      <c r="F95" s="1" t="str">
        <f>IF($A95="","",Anmeldung!$B31&amp;", "&amp;IFERROR(VALUE(LEFT(Anmeldung!$O31,FIND(":",Anmeldung!$O31)-1)),0)&amp;", "&amp;IFERROR(VALUE(LEFT(Anmeldung!$P31,FIND(":",Anmeldung!$P31)-1)),0))</f>
        <v/>
      </c>
      <c r="G95" s="1" t="str">
        <f>IF($A95="","",Anmeldung!$G31)</f>
        <v/>
      </c>
      <c r="H95" s="1" t="str">
        <f>IF($A95="","",Anmeldung!$J31)</f>
        <v/>
      </c>
      <c r="I95" s="1" t="str">
        <f>IF($A95="","",Anmeldung!$I31)</f>
        <v/>
      </c>
      <c r="J95" s="1" t="str">
        <f t="shared" si="1"/>
        <v/>
      </c>
    </row>
    <row r="96" spans="1:10" ht="14.25" customHeight="1" x14ac:dyDescent="0.3">
      <c r="A96" s="1" t="str">
        <f>IF(AND(Anmeldung!$D31&lt;&gt;"",Anmeldung!$Q31="Ja",IFERROR(VALUE(LEFT(Anmeldung!$R31,FIND(":",Anmeldung!$R31)-1)),0)&gt;0,Anmeldung!$B31=MIN(Anmeldung!$B31,IFERROR(VALUE(LEFT(Anmeldung!$R31,FIND(":",Anmeldung!$R31)-1)),0),IF(IFERROR(VALUE(LEFT(Anmeldung!$S31,FIND(":",Anmeldung!$S31)-1)),0)=0,999,IFERROR(VALUE(LEFT(Anmeldung!$S31,FIND(":",Anmeldung!$S31)-1)),0)))),"Poomsae Family","")</f>
        <v/>
      </c>
      <c r="B96" s="1" t="str">
        <f>IF($A96="","","Poomsae Family / "&amp;Anmeldung!$T31)</f>
        <v/>
      </c>
      <c r="C96" s="1" t="str">
        <f t="shared" si="0"/>
        <v/>
      </c>
      <c r="D96" s="1" t="str">
        <f>IF($A96="","","Family")</f>
        <v/>
      </c>
      <c r="E96" s="1" t="str">
        <f t="array" ref="E96">IF($A96="","",Anmeldung!$E31&amp;" "&amp;Anmeldung!$D31&amp;" / "&amp;IF(IFERROR(VALUE(LEFT(Anmeldung!$R31,FIND(":",Anmeldung!$R31)-1)),0)=0,"",INDEX(Anmeldung!$E$18:$E$47,IFERROR(VALUE(LEFT(Anmeldung!$R31,FIND(":",Anmeldung!$R31)-1)),0))&amp;" "&amp;INDEX(Anmeldung!$D$18:$D$47,IFERROR(VALUE(LEFT(Anmeldung!$R31,FIND(":",Anmeldung!$R31)-1)),0)))&amp;IF(IFERROR(VALUE(LEFT(Anmeldung!$S31,FIND(":",Anmeldung!$S31)-1)),0)&gt;0," / "&amp;IF(IFERROR(VALUE(LEFT(Anmeldung!$S31,FIND(":",Anmeldung!$S31)-1)),0)=0,"",INDEX(Anmeldung!$E$18:$E$47,IFERROR(VALUE(LEFT(Anmeldung!$S31,FIND(":",Anmeldung!$S31)-1)),0))&amp;" "&amp;INDEX(Anmeldung!$D$18:$D$47,IFERROR(VALUE(LEFT(Anmeldung!$S31,FIND(":",Anmeldung!$S31)-1)),0))),""))</f>
        <v/>
      </c>
      <c r="F96" s="1" t="str">
        <f>IF($A96="","",Anmeldung!$B31&amp;", "&amp;IFERROR(VALUE(LEFT(Anmeldung!$R31,FIND(":",Anmeldung!$R31)-1)),0)&amp;IF(IFERROR(VALUE(LEFT(Anmeldung!$S31,FIND(":",Anmeldung!$S31)-1)),0)&gt;0,", "&amp;IFERROR(VALUE(LEFT(Anmeldung!$S31,FIND(":",Anmeldung!$S31)-1)),0),""))</f>
        <v/>
      </c>
      <c r="G96" s="1" t="str">
        <f>IF($A96="","","-")</f>
        <v/>
      </c>
      <c r="H96" s="1" t="str">
        <f>IF($A96="","",Anmeldung!$T31)</f>
        <v/>
      </c>
      <c r="I96" s="1" t="str">
        <f>IF($A96="","","niedrigste Graduierung")</f>
        <v/>
      </c>
      <c r="J96" s="1" t="str">
        <f t="shared" si="1"/>
        <v/>
      </c>
    </row>
    <row r="97" spans="1:10" ht="14.25" customHeight="1" x14ac:dyDescent="0.3">
      <c r="A97" s="1" t="str">
        <f>IF(AND(Anmeldung!$D31&lt;&gt;"",Anmeldung!$U31="Ja",IFERROR(VALUE(LEFT(Anmeldung!$V31,FIND(":",Anmeldung!$V31)-1)),0)&gt;0,Anmeldung!$B31=MIN(Anmeldung!$B31,IFERROR(VALUE(LEFT(Anmeldung!$V31,FIND(":",Anmeldung!$V31)-1)),0))),"Einschrittkampf","")</f>
        <v/>
      </c>
      <c r="B97" s="1" t="str">
        <f>IF($A97="","",Anmeldung!$G31&amp;" / "&amp;Anmeldung!$J31)</f>
        <v/>
      </c>
      <c r="C97" s="1" t="str">
        <f t="shared" si="0"/>
        <v/>
      </c>
      <c r="D97" s="1" t="str">
        <f>IF($A97="","","Paar")</f>
        <v/>
      </c>
      <c r="E97" s="1" t="str">
        <f t="array" ref="E97">IF($A97="","",Anmeldung!$E31&amp;" "&amp;Anmeldung!$D31&amp;" / "&amp;IF(IFERROR(VALUE(LEFT(Anmeldung!$V31,FIND(":",Anmeldung!$V31)-1)),0)=0,"",INDEX(Anmeldung!$E$18:$E$47,IFERROR(VALUE(LEFT(Anmeldung!$V31,FIND(":",Anmeldung!$V31)-1)),0))&amp;" "&amp;INDEX(Anmeldung!$D$18:$D$47,IFERROR(VALUE(LEFT(Anmeldung!$V31,FIND(":",Anmeldung!$V31)-1)),0))))</f>
        <v/>
      </c>
      <c r="F97" s="1" t="str">
        <f>IF($A97="","",Anmeldung!$B31&amp;", "&amp;IFERROR(VALUE(LEFT(Anmeldung!$V31,FIND(":",Anmeldung!$V31)-1)),0))</f>
        <v/>
      </c>
      <c r="G97" s="1" t="str">
        <f>IF($A97="","",Anmeldung!$G31)</f>
        <v/>
      </c>
      <c r="H97" s="1" t="str">
        <f>IF($A97="","",Anmeldung!$J31)</f>
        <v/>
      </c>
      <c r="I97" s="1" t="str">
        <f>IF($A97="","",Anmeldung!$I31)</f>
        <v/>
      </c>
      <c r="J97" s="1" t="str">
        <f t="shared" si="1"/>
        <v/>
      </c>
    </row>
    <row r="98" spans="1:10" ht="14.25" customHeight="1" x14ac:dyDescent="0.3">
      <c r="A98" s="1" t="str">
        <f>IF(AND(Anmeldung!$D31&lt;&gt;"",Anmeldung!$W31="Ja"),"Bruchtest","")</f>
        <v/>
      </c>
      <c r="B98" s="1" t="str">
        <f>IF($A98="","",IF(YEAR(Anmeldung!$F31)&gt;=2009,"Bruchtest 16-17 Jahre / JG 2010-2009 / 1,0 cm",IF(YEAR(Anmeldung!$F31)&gt;=1986,"Bruchtest 18-40 Jahre / JG 2008-1986 / 1,5 cm","Bruchtest ab 41 Jahre / JG ab 1985 / 1,0 cm")))</f>
        <v/>
      </c>
      <c r="C98" s="1" t="str">
        <f t="shared" si="0"/>
        <v/>
      </c>
      <c r="D98" s="1" t="str">
        <f t="shared" ref="D98:D100" si="15">IF($A98="","","Einzel")</f>
        <v/>
      </c>
      <c r="E98" s="1" t="str">
        <f>IF($A98="","",Anmeldung!$E31&amp;" "&amp;Anmeldung!$D31)</f>
        <v/>
      </c>
      <c r="F98" s="1" t="str">
        <f>IF($A98="","",Anmeldung!$B31)</f>
        <v/>
      </c>
      <c r="G98" s="1" t="str">
        <f>IF($A98="","",Anmeldung!$G31)</f>
        <v/>
      </c>
      <c r="H98" s="1" t="str">
        <f>IF($A98="","",Anmeldung!$J31)</f>
        <v/>
      </c>
      <c r="I98" s="1" t="str">
        <f>IF($A98="","",Anmeldung!$I31)</f>
        <v/>
      </c>
      <c r="J98" s="1" t="str">
        <f t="shared" si="1"/>
        <v/>
      </c>
    </row>
    <row r="99" spans="1:10" ht="14.25" customHeight="1" x14ac:dyDescent="0.3">
      <c r="A99" s="1" t="str">
        <f>IF(AND(Anmeldung!$D31&lt;&gt;"",Anmeldung!$X31="Ja"),"Speed-Kicking","")</f>
        <v/>
      </c>
      <c r="B99" s="1" t="str">
        <f>IF($A99="","",Anmeldung!$G31)</f>
        <v/>
      </c>
      <c r="C99" s="1" t="str">
        <f t="shared" si="0"/>
        <v/>
      </c>
      <c r="D99" s="1" t="str">
        <f t="shared" si="15"/>
        <v/>
      </c>
      <c r="E99" s="1" t="str">
        <f>IF($A99="","",Anmeldung!$E31&amp;" "&amp;Anmeldung!$D31)</f>
        <v/>
      </c>
      <c r="F99" s="1" t="str">
        <f>IF($A99="","",Anmeldung!$B31)</f>
        <v/>
      </c>
      <c r="G99" s="1" t="str">
        <f>IF($A99="","",Anmeldung!$G31)</f>
        <v/>
      </c>
      <c r="H99" s="1" t="str">
        <f>IF($A99="","",Anmeldung!$J31)</f>
        <v/>
      </c>
      <c r="I99" s="1" t="str">
        <f>IF($A99="","",Anmeldung!$I31)</f>
        <v/>
      </c>
      <c r="J99" s="1" t="str">
        <f t="shared" si="1"/>
        <v/>
      </c>
    </row>
    <row r="100" spans="1:10" ht="14.25" customHeight="1" x14ac:dyDescent="0.3">
      <c r="A100" s="1" t="str">
        <f>IF(AND(Anmeldung!$D32&lt;&gt;"",Anmeldung!$K32="Ja"),"Poomsae Einzel","")</f>
        <v/>
      </c>
      <c r="B100" s="1" t="str">
        <f>IF($A100="","",Anmeldung!$G32&amp;" / "&amp;Anmeldung!$J32)</f>
        <v/>
      </c>
      <c r="C100" s="1" t="str">
        <f t="shared" si="0"/>
        <v/>
      </c>
      <c r="D100" s="1" t="str">
        <f t="shared" si="15"/>
        <v/>
      </c>
      <c r="E100" s="1" t="str">
        <f>IF($A100="","",Anmeldung!$E32&amp;" "&amp;Anmeldung!$D32)</f>
        <v/>
      </c>
      <c r="F100" s="1" t="str">
        <f>IF($A100="","",Anmeldung!$B32)</f>
        <v/>
      </c>
      <c r="G100" s="1" t="str">
        <f>IF($A100="","",Anmeldung!$G32)</f>
        <v/>
      </c>
      <c r="H100" s="1" t="str">
        <f>IF($A100="","",Anmeldung!$J32)</f>
        <v/>
      </c>
      <c r="I100" s="1" t="str">
        <f>IF($A100="","",Anmeldung!$I32)</f>
        <v/>
      </c>
      <c r="J100" s="1" t="str">
        <f t="shared" si="1"/>
        <v/>
      </c>
    </row>
    <row r="101" spans="1:10" ht="14.25" customHeight="1" x14ac:dyDescent="0.3">
      <c r="A101" s="1" t="str">
        <f>IF(AND(Anmeldung!$D32&lt;&gt;"",Anmeldung!$L32="Ja",IFERROR(VALUE(LEFT(Anmeldung!$M32,FIND(":",Anmeldung!$M32)-1)),0)&gt;0,Anmeldung!$B32=MIN(Anmeldung!$B32,IFERROR(VALUE(LEFT(Anmeldung!$M32,FIND(":",Anmeldung!$M32)-1)),0))),"Poomsae Paar","")</f>
        <v/>
      </c>
      <c r="B101" s="1" t="str">
        <f>IF($A101="","",Anmeldung!$G32&amp;" / "&amp;Anmeldung!$J32)</f>
        <v/>
      </c>
      <c r="C101" s="1" t="str">
        <f t="shared" si="0"/>
        <v/>
      </c>
      <c r="D101" s="1" t="str">
        <f>IF($A101="","","Paar")</f>
        <v/>
      </c>
      <c r="E101" s="1" t="str">
        <f t="array" ref="E101">IF($A101="","",Anmeldung!$E32&amp;" "&amp;Anmeldung!$D32&amp;" / "&amp;IF(IFERROR(VALUE(LEFT(Anmeldung!$M32,FIND(":",Anmeldung!$M32)-1)),0)=0,"",INDEX(Anmeldung!$E$18:$E$47,IFERROR(VALUE(LEFT(Anmeldung!$M32,FIND(":",Anmeldung!$M32)-1)),0))&amp;" "&amp;INDEX(Anmeldung!$D$18:$D$47,IFERROR(VALUE(LEFT(Anmeldung!$M32,FIND(":",Anmeldung!$M32)-1)),0))))</f>
        <v/>
      </c>
      <c r="F101" s="1" t="str">
        <f>IF($A101="","",Anmeldung!$B32&amp;", "&amp;IFERROR(VALUE(LEFT(Anmeldung!$M32,FIND(":",Anmeldung!$M32)-1)),0))</f>
        <v/>
      </c>
      <c r="G101" s="1" t="str">
        <f>IF($A101="","",Anmeldung!$G32)</f>
        <v/>
      </c>
      <c r="H101" s="1" t="str">
        <f>IF($A101="","",Anmeldung!$J32)</f>
        <v/>
      </c>
      <c r="I101" s="1" t="str">
        <f>IF($A101="","",Anmeldung!$I32)</f>
        <v/>
      </c>
      <c r="J101" s="1" t="str">
        <f t="shared" si="1"/>
        <v/>
      </c>
    </row>
    <row r="102" spans="1:10" ht="14.25" customHeight="1" x14ac:dyDescent="0.3">
      <c r="A102" s="1" t="str">
        <f>IF(AND(Anmeldung!$D32&lt;&gt;"",Anmeldung!$N32="Ja",IFERROR(VALUE(LEFT(Anmeldung!$O32,FIND(":",Anmeldung!$O32)-1)),0)&gt;0,IFERROR(VALUE(LEFT(Anmeldung!$P32,FIND(":",Anmeldung!$P32)-1)),0)&gt;0,Anmeldung!$B32=MIN(Anmeldung!$B32,IFERROR(VALUE(LEFT(Anmeldung!$O32,FIND(":",Anmeldung!$O32)-1)),0),IFERROR(VALUE(LEFT(Anmeldung!$P32,FIND(":",Anmeldung!$P32)-1)),0))),"Poomsae Team","")</f>
        <v/>
      </c>
      <c r="B102" s="1" t="str">
        <f>IF($A102="","",Anmeldung!$G32&amp;" / "&amp;Anmeldung!$J32)</f>
        <v/>
      </c>
      <c r="C102" s="1" t="str">
        <f t="shared" si="0"/>
        <v/>
      </c>
      <c r="D102" s="1" t="str">
        <f>IF($A102="","","Team")</f>
        <v/>
      </c>
      <c r="E102" s="1" t="str">
        <f t="array" ref="E102">IF($A102="","",Anmeldung!$E32&amp;" "&amp;Anmeldung!$D32&amp;" / "&amp;IF(IFERROR(VALUE(LEFT(Anmeldung!$O32,FIND(":",Anmeldung!$O32)-1)),0)=0,"",INDEX(Anmeldung!$E$18:$E$47,IFERROR(VALUE(LEFT(Anmeldung!$O32,FIND(":",Anmeldung!$O32)-1)),0))&amp;" "&amp;INDEX(Anmeldung!$D$18:$D$47,IFERROR(VALUE(LEFT(Anmeldung!$O32,FIND(":",Anmeldung!$O32)-1)),0)))&amp;" / "&amp;IF(IFERROR(VALUE(LEFT(Anmeldung!$P32,FIND(":",Anmeldung!$P32)-1)),0)=0,"",INDEX(Anmeldung!$E$18:$E$47,IFERROR(VALUE(LEFT(Anmeldung!$P32,FIND(":",Anmeldung!$P32)-1)),0))&amp;" "&amp;INDEX(Anmeldung!$D$18:$D$47,IFERROR(VALUE(LEFT(Anmeldung!$P32,FIND(":",Anmeldung!$P32)-1)),0))))</f>
        <v/>
      </c>
      <c r="F102" s="1" t="str">
        <f>IF($A102="","",Anmeldung!$B32&amp;", "&amp;IFERROR(VALUE(LEFT(Anmeldung!$O32,FIND(":",Anmeldung!$O32)-1)),0)&amp;", "&amp;IFERROR(VALUE(LEFT(Anmeldung!$P32,FIND(":",Anmeldung!$P32)-1)),0))</f>
        <v/>
      </c>
      <c r="G102" s="1" t="str">
        <f>IF($A102="","",Anmeldung!$G32)</f>
        <v/>
      </c>
      <c r="H102" s="1" t="str">
        <f>IF($A102="","",Anmeldung!$J32)</f>
        <v/>
      </c>
      <c r="I102" s="1" t="str">
        <f>IF($A102="","",Anmeldung!$I32)</f>
        <v/>
      </c>
      <c r="J102" s="1" t="str">
        <f t="shared" si="1"/>
        <v/>
      </c>
    </row>
    <row r="103" spans="1:10" ht="14.25" customHeight="1" x14ac:dyDescent="0.3">
      <c r="A103" s="1" t="str">
        <f>IF(AND(Anmeldung!$D32&lt;&gt;"",Anmeldung!$Q32="Ja",IFERROR(VALUE(LEFT(Anmeldung!$R32,FIND(":",Anmeldung!$R32)-1)),0)&gt;0,Anmeldung!$B32=MIN(Anmeldung!$B32,IFERROR(VALUE(LEFT(Anmeldung!$R32,FIND(":",Anmeldung!$R32)-1)),0),IF(IFERROR(VALUE(LEFT(Anmeldung!$S32,FIND(":",Anmeldung!$S32)-1)),0)=0,999,IFERROR(VALUE(LEFT(Anmeldung!$S32,FIND(":",Anmeldung!$S32)-1)),0)))),"Poomsae Family","")</f>
        <v/>
      </c>
      <c r="B103" s="1" t="str">
        <f>IF($A103="","","Poomsae Family / "&amp;Anmeldung!$T32)</f>
        <v/>
      </c>
      <c r="C103" s="1" t="str">
        <f t="shared" si="0"/>
        <v/>
      </c>
      <c r="D103" s="1" t="str">
        <f>IF($A103="","","Family")</f>
        <v/>
      </c>
      <c r="E103" s="1" t="str">
        <f t="array" ref="E103">IF($A103="","",Anmeldung!$E32&amp;" "&amp;Anmeldung!$D32&amp;" / "&amp;IF(IFERROR(VALUE(LEFT(Anmeldung!$R32,FIND(":",Anmeldung!$R32)-1)),0)=0,"",INDEX(Anmeldung!$E$18:$E$47,IFERROR(VALUE(LEFT(Anmeldung!$R32,FIND(":",Anmeldung!$R32)-1)),0))&amp;" "&amp;INDEX(Anmeldung!$D$18:$D$47,IFERROR(VALUE(LEFT(Anmeldung!$R32,FIND(":",Anmeldung!$R32)-1)),0)))&amp;IF(IFERROR(VALUE(LEFT(Anmeldung!$S32,FIND(":",Anmeldung!$S32)-1)),0)&gt;0," / "&amp;IF(IFERROR(VALUE(LEFT(Anmeldung!$S32,FIND(":",Anmeldung!$S32)-1)),0)=0,"",INDEX(Anmeldung!$E$18:$E$47,IFERROR(VALUE(LEFT(Anmeldung!$S32,FIND(":",Anmeldung!$S32)-1)),0))&amp;" "&amp;INDEX(Anmeldung!$D$18:$D$47,IFERROR(VALUE(LEFT(Anmeldung!$S32,FIND(":",Anmeldung!$S32)-1)),0))),""))</f>
        <v/>
      </c>
      <c r="F103" s="1" t="str">
        <f>IF($A103="","",Anmeldung!$B32&amp;", "&amp;IFERROR(VALUE(LEFT(Anmeldung!$R32,FIND(":",Anmeldung!$R32)-1)),0)&amp;IF(IFERROR(VALUE(LEFT(Anmeldung!$S32,FIND(":",Anmeldung!$S32)-1)),0)&gt;0,", "&amp;IFERROR(VALUE(LEFT(Anmeldung!$S32,FIND(":",Anmeldung!$S32)-1)),0),""))</f>
        <v/>
      </c>
      <c r="G103" s="1" t="str">
        <f>IF($A103="","","-")</f>
        <v/>
      </c>
      <c r="H103" s="1" t="str">
        <f>IF($A103="","",Anmeldung!$T32)</f>
        <v/>
      </c>
      <c r="I103" s="1" t="str">
        <f>IF($A103="","","niedrigste Graduierung")</f>
        <v/>
      </c>
      <c r="J103" s="1" t="str">
        <f t="shared" si="1"/>
        <v/>
      </c>
    </row>
    <row r="104" spans="1:10" ht="14.25" customHeight="1" x14ac:dyDescent="0.3">
      <c r="A104" s="1" t="str">
        <f>IF(AND(Anmeldung!$D32&lt;&gt;"",Anmeldung!$U32="Ja",IFERROR(VALUE(LEFT(Anmeldung!$V32,FIND(":",Anmeldung!$V32)-1)),0)&gt;0,Anmeldung!$B32=MIN(Anmeldung!$B32,IFERROR(VALUE(LEFT(Anmeldung!$V32,FIND(":",Anmeldung!$V32)-1)),0))),"Einschrittkampf","")</f>
        <v/>
      </c>
      <c r="B104" s="1" t="str">
        <f>IF($A104="","",Anmeldung!$G32&amp;" / "&amp;Anmeldung!$J32)</f>
        <v/>
      </c>
      <c r="C104" s="1" t="str">
        <f t="shared" si="0"/>
        <v/>
      </c>
      <c r="D104" s="1" t="str">
        <f>IF($A104="","","Paar")</f>
        <v/>
      </c>
      <c r="E104" s="1" t="str">
        <f t="array" ref="E104">IF($A104="","",Anmeldung!$E32&amp;" "&amp;Anmeldung!$D32&amp;" / "&amp;IF(IFERROR(VALUE(LEFT(Anmeldung!$V32,FIND(":",Anmeldung!$V32)-1)),0)=0,"",INDEX(Anmeldung!$E$18:$E$47,IFERROR(VALUE(LEFT(Anmeldung!$V32,FIND(":",Anmeldung!$V32)-1)),0))&amp;" "&amp;INDEX(Anmeldung!$D$18:$D$47,IFERROR(VALUE(LEFT(Anmeldung!$V32,FIND(":",Anmeldung!$V32)-1)),0))))</f>
        <v/>
      </c>
      <c r="F104" s="1" t="str">
        <f>IF($A104="","",Anmeldung!$B32&amp;", "&amp;IFERROR(VALUE(LEFT(Anmeldung!$V32,FIND(":",Anmeldung!$V32)-1)),0))</f>
        <v/>
      </c>
      <c r="G104" s="1" t="str">
        <f>IF($A104="","",Anmeldung!$G32)</f>
        <v/>
      </c>
      <c r="H104" s="1" t="str">
        <f>IF($A104="","",Anmeldung!$J32)</f>
        <v/>
      </c>
      <c r="I104" s="1" t="str">
        <f>IF($A104="","",Anmeldung!$I32)</f>
        <v/>
      </c>
      <c r="J104" s="1" t="str">
        <f t="shared" si="1"/>
        <v/>
      </c>
    </row>
    <row r="105" spans="1:10" ht="14.25" customHeight="1" x14ac:dyDescent="0.3">
      <c r="A105" s="1" t="str">
        <f>IF(AND(Anmeldung!$D32&lt;&gt;"",Anmeldung!$W32="Ja"),"Bruchtest","")</f>
        <v/>
      </c>
      <c r="B105" s="1" t="str">
        <f>IF($A105="","",IF(YEAR(Anmeldung!$F32)&gt;=2009,"Bruchtest 16-17 Jahre / JG 2010-2009 / 1,0 cm",IF(YEAR(Anmeldung!$F32)&gt;=1986,"Bruchtest 18-40 Jahre / JG 2008-1986 / 1,5 cm","Bruchtest ab 41 Jahre / JG ab 1985 / 1,0 cm")))</f>
        <v/>
      </c>
      <c r="C105" s="1" t="str">
        <f t="shared" si="0"/>
        <v/>
      </c>
      <c r="D105" s="1" t="str">
        <f t="shared" ref="D105:D107" si="16">IF($A105="","","Einzel")</f>
        <v/>
      </c>
      <c r="E105" s="1" t="str">
        <f>IF($A105="","",Anmeldung!$E32&amp;" "&amp;Anmeldung!$D32)</f>
        <v/>
      </c>
      <c r="F105" s="1" t="str">
        <f>IF($A105="","",Anmeldung!$B32)</f>
        <v/>
      </c>
      <c r="G105" s="1" t="str">
        <f>IF($A105="","",Anmeldung!$G32)</f>
        <v/>
      </c>
      <c r="H105" s="1" t="str">
        <f>IF($A105="","",Anmeldung!$J32)</f>
        <v/>
      </c>
      <c r="I105" s="1" t="str">
        <f>IF($A105="","",Anmeldung!$I32)</f>
        <v/>
      </c>
      <c r="J105" s="1" t="str">
        <f t="shared" si="1"/>
        <v/>
      </c>
    </row>
    <row r="106" spans="1:10" ht="14.25" customHeight="1" x14ac:dyDescent="0.3">
      <c r="A106" s="1" t="str">
        <f>IF(AND(Anmeldung!$D32&lt;&gt;"",Anmeldung!$X32="Ja"),"Speed-Kicking","")</f>
        <v/>
      </c>
      <c r="B106" s="1" t="str">
        <f>IF($A106="","",Anmeldung!$G32)</f>
        <v/>
      </c>
      <c r="C106" s="1" t="str">
        <f t="shared" si="0"/>
        <v/>
      </c>
      <c r="D106" s="1" t="str">
        <f t="shared" si="16"/>
        <v/>
      </c>
      <c r="E106" s="1" t="str">
        <f>IF($A106="","",Anmeldung!$E32&amp;" "&amp;Anmeldung!$D32)</f>
        <v/>
      </c>
      <c r="F106" s="1" t="str">
        <f>IF($A106="","",Anmeldung!$B32)</f>
        <v/>
      </c>
      <c r="G106" s="1" t="str">
        <f>IF($A106="","",Anmeldung!$G32)</f>
        <v/>
      </c>
      <c r="H106" s="1" t="str">
        <f>IF($A106="","",Anmeldung!$J32)</f>
        <v/>
      </c>
      <c r="I106" s="1" t="str">
        <f>IF($A106="","",Anmeldung!$I32)</f>
        <v/>
      </c>
      <c r="J106" s="1" t="str">
        <f t="shared" si="1"/>
        <v/>
      </c>
    </row>
    <row r="107" spans="1:10" ht="14.25" customHeight="1" x14ac:dyDescent="0.3">
      <c r="A107" s="1" t="str">
        <f>IF(AND(Anmeldung!$D33&lt;&gt;"",Anmeldung!$K33="Ja"),"Poomsae Einzel","")</f>
        <v/>
      </c>
      <c r="B107" s="1" t="str">
        <f>IF($A107="","",Anmeldung!$G33&amp;" / "&amp;Anmeldung!$J33)</f>
        <v/>
      </c>
      <c r="C107" s="1" t="str">
        <f t="shared" si="0"/>
        <v/>
      </c>
      <c r="D107" s="1" t="str">
        <f t="shared" si="16"/>
        <v/>
      </c>
      <c r="E107" s="1" t="str">
        <f>IF($A107="","",Anmeldung!$E33&amp;" "&amp;Anmeldung!$D33)</f>
        <v/>
      </c>
      <c r="F107" s="1" t="str">
        <f>IF($A107="","",Anmeldung!$B33)</f>
        <v/>
      </c>
      <c r="G107" s="1" t="str">
        <f>IF($A107="","",Anmeldung!$G33)</f>
        <v/>
      </c>
      <c r="H107" s="1" t="str">
        <f>IF($A107="","",Anmeldung!$J33)</f>
        <v/>
      </c>
      <c r="I107" s="1" t="str">
        <f>IF($A107="","",Anmeldung!$I33)</f>
        <v/>
      </c>
      <c r="J107" s="1" t="str">
        <f t="shared" si="1"/>
        <v/>
      </c>
    </row>
    <row r="108" spans="1:10" ht="14.25" customHeight="1" x14ac:dyDescent="0.3">
      <c r="A108" s="1" t="str">
        <f>IF(AND(Anmeldung!$D33&lt;&gt;"",Anmeldung!$L33="Ja",IFERROR(VALUE(LEFT(Anmeldung!$M33,FIND(":",Anmeldung!$M33)-1)),0)&gt;0,Anmeldung!$B33=MIN(Anmeldung!$B33,IFERROR(VALUE(LEFT(Anmeldung!$M33,FIND(":",Anmeldung!$M33)-1)),0))),"Poomsae Paar","")</f>
        <v/>
      </c>
      <c r="B108" s="1" t="str">
        <f>IF($A108="","",Anmeldung!$G33&amp;" / "&amp;Anmeldung!$J33)</f>
        <v/>
      </c>
      <c r="C108" s="1" t="str">
        <f t="shared" si="0"/>
        <v/>
      </c>
      <c r="D108" s="1" t="str">
        <f>IF($A108="","","Paar")</f>
        <v/>
      </c>
      <c r="E108" s="1" t="str">
        <f t="array" ref="E108">IF($A108="","",Anmeldung!$E33&amp;" "&amp;Anmeldung!$D33&amp;" / "&amp;IF(IFERROR(VALUE(LEFT(Anmeldung!$M33,FIND(":",Anmeldung!$M33)-1)),0)=0,"",INDEX(Anmeldung!$E$18:$E$47,IFERROR(VALUE(LEFT(Anmeldung!$M33,FIND(":",Anmeldung!$M33)-1)),0))&amp;" "&amp;INDEX(Anmeldung!$D$18:$D$47,IFERROR(VALUE(LEFT(Anmeldung!$M33,FIND(":",Anmeldung!$M33)-1)),0))))</f>
        <v/>
      </c>
      <c r="F108" s="1" t="str">
        <f>IF($A108="","",Anmeldung!$B33&amp;", "&amp;IFERROR(VALUE(LEFT(Anmeldung!$M33,FIND(":",Anmeldung!$M33)-1)),0))</f>
        <v/>
      </c>
      <c r="G108" s="1" t="str">
        <f>IF($A108="","",Anmeldung!$G33)</f>
        <v/>
      </c>
      <c r="H108" s="1" t="str">
        <f>IF($A108="","",Anmeldung!$J33)</f>
        <v/>
      </c>
      <c r="I108" s="1" t="str">
        <f>IF($A108="","",Anmeldung!$I33)</f>
        <v/>
      </c>
      <c r="J108" s="1" t="str">
        <f t="shared" si="1"/>
        <v/>
      </c>
    </row>
    <row r="109" spans="1:10" ht="14.25" customHeight="1" x14ac:dyDescent="0.3">
      <c r="A109" s="1" t="str">
        <f>IF(AND(Anmeldung!$D33&lt;&gt;"",Anmeldung!$N33="Ja",IFERROR(VALUE(LEFT(Anmeldung!$O33,FIND(":",Anmeldung!$O33)-1)),0)&gt;0,IFERROR(VALUE(LEFT(Anmeldung!$P33,FIND(":",Anmeldung!$P33)-1)),0)&gt;0,Anmeldung!$B33=MIN(Anmeldung!$B33,IFERROR(VALUE(LEFT(Anmeldung!$O33,FIND(":",Anmeldung!$O33)-1)),0),IFERROR(VALUE(LEFT(Anmeldung!$P33,FIND(":",Anmeldung!$P33)-1)),0))),"Poomsae Team","")</f>
        <v/>
      </c>
      <c r="B109" s="1" t="str">
        <f>IF($A109="","",Anmeldung!$G33&amp;" / "&amp;Anmeldung!$J33)</f>
        <v/>
      </c>
      <c r="C109" s="1" t="str">
        <f t="shared" si="0"/>
        <v/>
      </c>
      <c r="D109" s="1" t="str">
        <f>IF($A109="","","Team")</f>
        <v/>
      </c>
      <c r="E109" s="1" t="str">
        <f t="array" ref="E109">IF($A109="","",Anmeldung!$E33&amp;" "&amp;Anmeldung!$D33&amp;" / "&amp;IF(IFERROR(VALUE(LEFT(Anmeldung!$O33,FIND(":",Anmeldung!$O33)-1)),0)=0,"",INDEX(Anmeldung!$E$18:$E$47,IFERROR(VALUE(LEFT(Anmeldung!$O33,FIND(":",Anmeldung!$O33)-1)),0))&amp;" "&amp;INDEX(Anmeldung!$D$18:$D$47,IFERROR(VALUE(LEFT(Anmeldung!$O33,FIND(":",Anmeldung!$O33)-1)),0)))&amp;" / "&amp;IF(IFERROR(VALUE(LEFT(Anmeldung!$P33,FIND(":",Anmeldung!$P33)-1)),0)=0,"",INDEX(Anmeldung!$E$18:$E$47,IFERROR(VALUE(LEFT(Anmeldung!$P33,FIND(":",Anmeldung!$P33)-1)),0))&amp;" "&amp;INDEX(Anmeldung!$D$18:$D$47,IFERROR(VALUE(LEFT(Anmeldung!$P33,FIND(":",Anmeldung!$P33)-1)),0))))</f>
        <v/>
      </c>
      <c r="F109" s="1" t="str">
        <f>IF($A109="","",Anmeldung!$B33&amp;", "&amp;IFERROR(VALUE(LEFT(Anmeldung!$O33,FIND(":",Anmeldung!$O33)-1)),0)&amp;", "&amp;IFERROR(VALUE(LEFT(Anmeldung!$P33,FIND(":",Anmeldung!$P33)-1)),0))</f>
        <v/>
      </c>
      <c r="G109" s="1" t="str">
        <f>IF($A109="","",Anmeldung!$G33)</f>
        <v/>
      </c>
      <c r="H109" s="1" t="str">
        <f>IF($A109="","",Anmeldung!$J33)</f>
        <v/>
      </c>
      <c r="I109" s="1" t="str">
        <f>IF($A109="","",Anmeldung!$I33)</f>
        <v/>
      </c>
      <c r="J109" s="1" t="str">
        <f t="shared" si="1"/>
        <v/>
      </c>
    </row>
    <row r="110" spans="1:10" ht="14.25" customHeight="1" x14ac:dyDescent="0.3">
      <c r="A110" s="1" t="str">
        <f>IF(AND(Anmeldung!$D33&lt;&gt;"",Anmeldung!$Q33="Ja",IFERROR(VALUE(LEFT(Anmeldung!$R33,FIND(":",Anmeldung!$R33)-1)),0)&gt;0,Anmeldung!$B33=MIN(Anmeldung!$B33,IFERROR(VALUE(LEFT(Anmeldung!$R33,FIND(":",Anmeldung!$R33)-1)),0),IF(IFERROR(VALUE(LEFT(Anmeldung!$S33,FIND(":",Anmeldung!$S33)-1)),0)=0,999,IFERROR(VALUE(LEFT(Anmeldung!$S33,FIND(":",Anmeldung!$S33)-1)),0)))),"Poomsae Family","")</f>
        <v/>
      </c>
      <c r="B110" s="1" t="str">
        <f>IF($A110="","","Poomsae Family / "&amp;Anmeldung!$T33)</f>
        <v/>
      </c>
      <c r="C110" s="1" t="str">
        <f t="shared" si="0"/>
        <v/>
      </c>
      <c r="D110" s="1" t="str">
        <f>IF($A110="","","Family")</f>
        <v/>
      </c>
      <c r="E110" s="1" t="str">
        <f t="array" ref="E110">IF($A110="","",Anmeldung!$E33&amp;" "&amp;Anmeldung!$D33&amp;" / "&amp;IF(IFERROR(VALUE(LEFT(Anmeldung!$R33,FIND(":",Anmeldung!$R33)-1)),0)=0,"",INDEX(Anmeldung!$E$18:$E$47,IFERROR(VALUE(LEFT(Anmeldung!$R33,FIND(":",Anmeldung!$R33)-1)),0))&amp;" "&amp;INDEX(Anmeldung!$D$18:$D$47,IFERROR(VALUE(LEFT(Anmeldung!$R33,FIND(":",Anmeldung!$R33)-1)),0)))&amp;IF(IFERROR(VALUE(LEFT(Anmeldung!$S33,FIND(":",Anmeldung!$S33)-1)),0)&gt;0," / "&amp;IF(IFERROR(VALUE(LEFT(Anmeldung!$S33,FIND(":",Anmeldung!$S33)-1)),0)=0,"",INDEX(Anmeldung!$E$18:$E$47,IFERROR(VALUE(LEFT(Anmeldung!$S33,FIND(":",Anmeldung!$S33)-1)),0))&amp;" "&amp;INDEX(Anmeldung!$D$18:$D$47,IFERROR(VALUE(LEFT(Anmeldung!$S33,FIND(":",Anmeldung!$S33)-1)),0))),""))</f>
        <v/>
      </c>
      <c r="F110" s="1" t="str">
        <f>IF($A110="","",Anmeldung!$B33&amp;", "&amp;IFERROR(VALUE(LEFT(Anmeldung!$R33,FIND(":",Anmeldung!$R33)-1)),0)&amp;IF(IFERROR(VALUE(LEFT(Anmeldung!$S33,FIND(":",Anmeldung!$S33)-1)),0)&gt;0,", "&amp;IFERROR(VALUE(LEFT(Anmeldung!$S33,FIND(":",Anmeldung!$S33)-1)),0),""))</f>
        <v/>
      </c>
      <c r="G110" s="1" t="str">
        <f>IF($A110="","","-")</f>
        <v/>
      </c>
      <c r="H110" s="1" t="str">
        <f>IF($A110="","",Anmeldung!$T33)</f>
        <v/>
      </c>
      <c r="I110" s="1" t="str">
        <f>IF($A110="","","niedrigste Graduierung")</f>
        <v/>
      </c>
      <c r="J110" s="1" t="str">
        <f t="shared" si="1"/>
        <v/>
      </c>
    </row>
    <row r="111" spans="1:10" ht="14.25" customHeight="1" x14ac:dyDescent="0.3">
      <c r="A111" s="1" t="str">
        <f>IF(AND(Anmeldung!$D33&lt;&gt;"",Anmeldung!$U33="Ja",IFERROR(VALUE(LEFT(Anmeldung!$V33,FIND(":",Anmeldung!$V33)-1)),0)&gt;0,Anmeldung!$B33=MIN(Anmeldung!$B33,IFERROR(VALUE(LEFT(Anmeldung!$V33,FIND(":",Anmeldung!$V33)-1)),0))),"Einschrittkampf","")</f>
        <v/>
      </c>
      <c r="B111" s="1" t="str">
        <f>IF($A111="","",Anmeldung!$G33&amp;" / "&amp;Anmeldung!$J33)</f>
        <v/>
      </c>
      <c r="C111" s="1" t="str">
        <f t="shared" si="0"/>
        <v/>
      </c>
      <c r="D111" s="1" t="str">
        <f>IF($A111="","","Paar")</f>
        <v/>
      </c>
      <c r="E111" s="1" t="str">
        <f t="array" ref="E111">IF($A111="","",Anmeldung!$E33&amp;" "&amp;Anmeldung!$D33&amp;" / "&amp;IF(IFERROR(VALUE(LEFT(Anmeldung!$V33,FIND(":",Anmeldung!$V33)-1)),0)=0,"",INDEX(Anmeldung!$E$18:$E$47,IFERROR(VALUE(LEFT(Anmeldung!$V33,FIND(":",Anmeldung!$V33)-1)),0))&amp;" "&amp;INDEX(Anmeldung!$D$18:$D$47,IFERROR(VALUE(LEFT(Anmeldung!$V33,FIND(":",Anmeldung!$V33)-1)),0))))</f>
        <v/>
      </c>
      <c r="F111" s="1" t="str">
        <f>IF($A111="","",Anmeldung!$B33&amp;", "&amp;IFERROR(VALUE(LEFT(Anmeldung!$V33,FIND(":",Anmeldung!$V33)-1)),0))</f>
        <v/>
      </c>
      <c r="G111" s="1" t="str">
        <f>IF($A111="","",Anmeldung!$G33)</f>
        <v/>
      </c>
      <c r="H111" s="1" t="str">
        <f>IF($A111="","",Anmeldung!$J33)</f>
        <v/>
      </c>
      <c r="I111" s="1" t="str">
        <f>IF($A111="","",Anmeldung!$I33)</f>
        <v/>
      </c>
      <c r="J111" s="1" t="str">
        <f t="shared" si="1"/>
        <v/>
      </c>
    </row>
    <row r="112" spans="1:10" ht="14.25" customHeight="1" x14ac:dyDescent="0.3">
      <c r="A112" s="1" t="str">
        <f>IF(AND(Anmeldung!$D33&lt;&gt;"",Anmeldung!$W33="Ja"),"Bruchtest","")</f>
        <v/>
      </c>
      <c r="B112" s="1" t="str">
        <f>IF($A112="","",IF(YEAR(Anmeldung!$F33)&gt;=2009,"Bruchtest 16-17 Jahre / JG 2010-2009 / 1,0 cm",IF(YEAR(Anmeldung!$F33)&gt;=1986,"Bruchtest 18-40 Jahre / JG 2008-1986 / 1,5 cm","Bruchtest ab 41 Jahre / JG ab 1985 / 1,0 cm")))</f>
        <v/>
      </c>
      <c r="C112" s="1" t="str">
        <f t="shared" si="0"/>
        <v/>
      </c>
      <c r="D112" s="1" t="str">
        <f t="shared" ref="D112:D114" si="17">IF($A112="","","Einzel")</f>
        <v/>
      </c>
      <c r="E112" s="1" t="str">
        <f>IF($A112="","",Anmeldung!$E33&amp;" "&amp;Anmeldung!$D33)</f>
        <v/>
      </c>
      <c r="F112" s="1" t="str">
        <f>IF($A112="","",Anmeldung!$B33)</f>
        <v/>
      </c>
      <c r="G112" s="1" t="str">
        <f>IF($A112="","",Anmeldung!$G33)</f>
        <v/>
      </c>
      <c r="H112" s="1" t="str">
        <f>IF($A112="","",Anmeldung!$J33)</f>
        <v/>
      </c>
      <c r="I112" s="1" t="str">
        <f>IF($A112="","",Anmeldung!$I33)</f>
        <v/>
      </c>
      <c r="J112" s="1" t="str">
        <f t="shared" si="1"/>
        <v/>
      </c>
    </row>
    <row r="113" spans="1:10" ht="14.25" customHeight="1" x14ac:dyDescent="0.3">
      <c r="A113" s="1" t="str">
        <f>IF(AND(Anmeldung!$D33&lt;&gt;"",Anmeldung!$X33="Ja"),"Speed-Kicking","")</f>
        <v/>
      </c>
      <c r="B113" s="1" t="str">
        <f>IF($A113="","",Anmeldung!$G33)</f>
        <v/>
      </c>
      <c r="C113" s="1" t="str">
        <f t="shared" si="0"/>
        <v/>
      </c>
      <c r="D113" s="1" t="str">
        <f t="shared" si="17"/>
        <v/>
      </c>
      <c r="E113" s="1" t="str">
        <f>IF($A113="","",Anmeldung!$E33&amp;" "&amp;Anmeldung!$D33)</f>
        <v/>
      </c>
      <c r="F113" s="1" t="str">
        <f>IF($A113="","",Anmeldung!$B33)</f>
        <v/>
      </c>
      <c r="G113" s="1" t="str">
        <f>IF($A113="","",Anmeldung!$G33)</f>
        <v/>
      </c>
      <c r="H113" s="1" t="str">
        <f>IF($A113="","",Anmeldung!$J33)</f>
        <v/>
      </c>
      <c r="I113" s="1" t="str">
        <f>IF($A113="","",Anmeldung!$I33)</f>
        <v/>
      </c>
      <c r="J113" s="1" t="str">
        <f t="shared" si="1"/>
        <v/>
      </c>
    </row>
    <row r="114" spans="1:10" ht="14.25" customHeight="1" x14ac:dyDescent="0.3">
      <c r="A114" s="1" t="str">
        <f>IF(AND(Anmeldung!$D34&lt;&gt;"",Anmeldung!$K34="Ja"),"Poomsae Einzel","")</f>
        <v/>
      </c>
      <c r="B114" s="1" t="str">
        <f>IF($A114="","",Anmeldung!$G34&amp;" / "&amp;Anmeldung!$J34)</f>
        <v/>
      </c>
      <c r="C114" s="1" t="str">
        <f t="shared" si="0"/>
        <v/>
      </c>
      <c r="D114" s="1" t="str">
        <f t="shared" si="17"/>
        <v/>
      </c>
      <c r="E114" s="1" t="str">
        <f>IF($A114="","",Anmeldung!$E34&amp;" "&amp;Anmeldung!$D34)</f>
        <v/>
      </c>
      <c r="F114" s="1" t="str">
        <f>IF($A114="","",Anmeldung!$B34)</f>
        <v/>
      </c>
      <c r="G114" s="1" t="str">
        <f>IF($A114="","",Anmeldung!$G34)</f>
        <v/>
      </c>
      <c r="H114" s="1" t="str">
        <f>IF($A114="","",Anmeldung!$J34)</f>
        <v/>
      </c>
      <c r="I114" s="1" t="str">
        <f>IF($A114="","",Anmeldung!$I34)</f>
        <v/>
      </c>
      <c r="J114" s="1" t="str">
        <f t="shared" si="1"/>
        <v/>
      </c>
    </row>
    <row r="115" spans="1:10" ht="14.25" customHeight="1" x14ac:dyDescent="0.3">
      <c r="A115" s="1" t="str">
        <f>IF(AND(Anmeldung!$D34&lt;&gt;"",Anmeldung!$L34="Ja",IFERROR(VALUE(LEFT(Anmeldung!$M34,FIND(":",Anmeldung!$M34)-1)),0)&gt;0,Anmeldung!$B34=MIN(Anmeldung!$B34,IFERROR(VALUE(LEFT(Anmeldung!$M34,FIND(":",Anmeldung!$M34)-1)),0))),"Poomsae Paar","")</f>
        <v/>
      </c>
      <c r="B115" s="1" t="str">
        <f>IF($A115="","",Anmeldung!$G34&amp;" / "&amp;Anmeldung!$J34)</f>
        <v/>
      </c>
      <c r="C115" s="1" t="str">
        <f t="shared" si="0"/>
        <v/>
      </c>
      <c r="D115" s="1" t="str">
        <f>IF($A115="","","Paar")</f>
        <v/>
      </c>
      <c r="E115" s="1" t="str">
        <f t="array" ref="E115">IF($A115="","",Anmeldung!$E34&amp;" "&amp;Anmeldung!$D34&amp;" / "&amp;IF(IFERROR(VALUE(LEFT(Anmeldung!$M34,FIND(":",Anmeldung!$M34)-1)),0)=0,"",INDEX(Anmeldung!$E$18:$E$47,IFERROR(VALUE(LEFT(Anmeldung!$M34,FIND(":",Anmeldung!$M34)-1)),0))&amp;" "&amp;INDEX(Anmeldung!$D$18:$D$47,IFERROR(VALUE(LEFT(Anmeldung!$M34,FIND(":",Anmeldung!$M34)-1)),0))))</f>
        <v/>
      </c>
      <c r="F115" s="1" t="str">
        <f>IF($A115="","",Anmeldung!$B34&amp;", "&amp;IFERROR(VALUE(LEFT(Anmeldung!$M34,FIND(":",Anmeldung!$M34)-1)),0))</f>
        <v/>
      </c>
      <c r="G115" s="1" t="str">
        <f>IF($A115="","",Anmeldung!$G34)</f>
        <v/>
      </c>
      <c r="H115" s="1" t="str">
        <f>IF($A115="","",Anmeldung!$J34)</f>
        <v/>
      </c>
      <c r="I115" s="1" t="str">
        <f>IF($A115="","",Anmeldung!$I34)</f>
        <v/>
      </c>
      <c r="J115" s="1" t="str">
        <f t="shared" si="1"/>
        <v/>
      </c>
    </row>
    <row r="116" spans="1:10" ht="14.25" customHeight="1" x14ac:dyDescent="0.3">
      <c r="A116" s="1" t="str">
        <f>IF(AND(Anmeldung!$D34&lt;&gt;"",Anmeldung!$N34="Ja",IFERROR(VALUE(LEFT(Anmeldung!$O34,FIND(":",Anmeldung!$O34)-1)),0)&gt;0,IFERROR(VALUE(LEFT(Anmeldung!$P34,FIND(":",Anmeldung!$P34)-1)),0)&gt;0,Anmeldung!$B34=MIN(Anmeldung!$B34,IFERROR(VALUE(LEFT(Anmeldung!$O34,FIND(":",Anmeldung!$O34)-1)),0),IFERROR(VALUE(LEFT(Anmeldung!$P34,FIND(":",Anmeldung!$P34)-1)),0))),"Poomsae Team","")</f>
        <v/>
      </c>
      <c r="B116" s="1" t="str">
        <f>IF($A116="","",Anmeldung!$G34&amp;" / "&amp;Anmeldung!$J34)</f>
        <v/>
      </c>
      <c r="C116" s="1" t="str">
        <f t="shared" si="0"/>
        <v/>
      </c>
      <c r="D116" s="1" t="str">
        <f>IF($A116="","","Team")</f>
        <v/>
      </c>
      <c r="E116" s="1" t="str">
        <f t="array" ref="E116">IF($A116="","",Anmeldung!$E34&amp;" "&amp;Anmeldung!$D34&amp;" / "&amp;IF(IFERROR(VALUE(LEFT(Anmeldung!$O34,FIND(":",Anmeldung!$O34)-1)),0)=0,"",INDEX(Anmeldung!$E$18:$E$47,IFERROR(VALUE(LEFT(Anmeldung!$O34,FIND(":",Anmeldung!$O34)-1)),0))&amp;" "&amp;INDEX(Anmeldung!$D$18:$D$47,IFERROR(VALUE(LEFT(Anmeldung!$O34,FIND(":",Anmeldung!$O34)-1)),0)))&amp;" / "&amp;IF(IFERROR(VALUE(LEFT(Anmeldung!$P34,FIND(":",Anmeldung!$P34)-1)),0)=0,"",INDEX(Anmeldung!$E$18:$E$47,IFERROR(VALUE(LEFT(Anmeldung!$P34,FIND(":",Anmeldung!$P34)-1)),0))&amp;" "&amp;INDEX(Anmeldung!$D$18:$D$47,IFERROR(VALUE(LEFT(Anmeldung!$P34,FIND(":",Anmeldung!$P34)-1)),0))))</f>
        <v/>
      </c>
      <c r="F116" s="1" t="str">
        <f>IF($A116="","",Anmeldung!$B34&amp;", "&amp;IFERROR(VALUE(LEFT(Anmeldung!$O34,FIND(":",Anmeldung!$O34)-1)),0)&amp;", "&amp;IFERROR(VALUE(LEFT(Anmeldung!$P34,FIND(":",Anmeldung!$P34)-1)),0))</f>
        <v/>
      </c>
      <c r="G116" s="1" t="str">
        <f>IF($A116="","",Anmeldung!$G34)</f>
        <v/>
      </c>
      <c r="H116" s="1" t="str">
        <f>IF($A116="","",Anmeldung!$J34)</f>
        <v/>
      </c>
      <c r="I116" s="1" t="str">
        <f>IF($A116="","",Anmeldung!$I34)</f>
        <v/>
      </c>
      <c r="J116" s="1" t="str">
        <f t="shared" si="1"/>
        <v/>
      </c>
    </row>
    <row r="117" spans="1:10" ht="14.25" customHeight="1" x14ac:dyDescent="0.3">
      <c r="A117" s="1" t="str">
        <f>IF(AND(Anmeldung!$D34&lt;&gt;"",Anmeldung!$Q34="Ja",IFERROR(VALUE(LEFT(Anmeldung!$R34,FIND(":",Anmeldung!$R34)-1)),0)&gt;0,Anmeldung!$B34=MIN(Anmeldung!$B34,IFERROR(VALUE(LEFT(Anmeldung!$R34,FIND(":",Anmeldung!$R34)-1)),0),IF(IFERROR(VALUE(LEFT(Anmeldung!$S34,FIND(":",Anmeldung!$S34)-1)),0)=0,999,IFERROR(VALUE(LEFT(Anmeldung!$S34,FIND(":",Anmeldung!$S34)-1)),0)))),"Poomsae Family","")</f>
        <v/>
      </c>
      <c r="B117" s="1" t="str">
        <f>IF($A117="","","Poomsae Family / "&amp;Anmeldung!$T34)</f>
        <v/>
      </c>
      <c r="C117" s="1" t="str">
        <f t="shared" si="0"/>
        <v/>
      </c>
      <c r="D117" s="1" t="str">
        <f>IF($A117="","","Family")</f>
        <v/>
      </c>
      <c r="E117" s="1" t="str">
        <f t="array" ref="E117">IF($A117="","",Anmeldung!$E34&amp;" "&amp;Anmeldung!$D34&amp;" / "&amp;IF(IFERROR(VALUE(LEFT(Anmeldung!$R34,FIND(":",Anmeldung!$R34)-1)),0)=0,"",INDEX(Anmeldung!$E$18:$E$47,IFERROR(VALUE(LEFT(Anmeldung!$R34,FIND(":",Anmeldung!$R34)-1)),0))&amp;" "&amp;INDEX(Anmeldung!$D$18:$D$47,IFERROR(VALUE(LEFT(Anmeldung!$R34,FIND(":",Anmeldung!$R34)-1)),0)))&amp;IF(IFERROR(VALUE(LEFT(Anmeldung!$S34,FIND(":",Anmeldung!$S34)-1)),0)&gt;0," / "&amp;IF(IFERROR(VALUE(LEFT(Anmeldung!$S34,FIND(":",Anmeldung!$S34)-1)),0)=0,"",INDEX(Anmeldung!$E$18:$E$47,IFERROR(VALUE(LEFT(Anmeldung!$S34,FIND(":",Anmeldung!$S34)-1)),0))&amp;" "&amp;INDEX(Anmeldung!$D$18:$D$47,IFERROR(VALUE(LEFT(Anmeldung!$S34,FIND(":",Anmeldung!$S34)-1)),0))),""))</f>
        <v/>
      </c>
      <c r="F117" s="1" t="str">
        <f>IF($A117="","",Anmeldung!$B34&amp;", "&amp;IFERROR(VALUE(LEFT(Anmeldung!$R34,FIND(":",Anmeldung!$R34)-1)),0)&amp;IF(IFERROR(VALUE(LEFT(Anmeldung!$S34,FIND(":",Anmeldung!$S34)-1)),0)&gt;0,", "&amp;IFERROR(VALUE(LEFT(Anmeldung!$S34,FIND(":",Anmeldung!$S34)-1)),0),""))</f>
        <v/>
      </c>
      <c r="G117" s="1" t="str">
        <f>IF($A117="","","-")</f>
        <v/>
      </c>
      <c r="H117" s="1" t="str">
        <f>IF($A117="","",Anmeldung!$T34)</f>
        <v/>
      </c>
      <c r="I117" s="1" t="str">
        <f>IF($A117="","","niedrigste Graduierung")</f>
        <v/>
      </c>
      <c r="J117" s="1" t="str">
        <f t="shared" si="1"/>
        <v/>
      </c>
    </row>
    <row r="118" spans="1:10" ht="14.25" customHeight="1" x14ac:dyDescent="0.3">
      <c r="A118" s="1" t="str">
        <f>IF(AND(Anmeldung!$D34&lt;&gt;"",Anmeldung!$U34="Ja",IFERROR(VALUE(LEFT(Anmeldung!$V34,FIND(":",Anmeldung!$V34)-1)),0)&gt;0,Anmeldung!$B34=MIN(Anmeldung!$B34,IFERROR(VALUE(LEFT(Anmeldung!$V34,FIND(":",Anmeldung!$V34)-1)),0))),"Einschrittkampf","")</f>
        <v/>
      </c>
      <c r="B118" s="1" t="str">
        <f>IF($A118="","",Anmeldung!$G34&amp;" / "&amp;Anmeldung!$J34)</f>
        <v/>
      </c>
      <c r="C118" s="1" t="str">
        <f t="shared" si="0"/>
        <v/>
      </c>
      <c r="D118" s="1" t="str">
        <f>IF($A118="","","Paar")</f>
        <v/>
      </c>
      <c r="E118" s="1" t="str">
        <f t="array" ref="E118">IF($A118="","",Anmeldung!$E34&amp;" "&amp;Anmeldung!$D34&amp;" / "&amp;IF(IFERROR(VALUE(LEFT(Anmeldung!$V34,FIND(":",Anmeldung!$V34)-1)),0)=0,"",INDEX(Anmeldung!$E$18:$E$47,IFERROR(VALUE(LEFT(Anmeldung!$V34,FIND(":",Anmeldung!$V34)-1)),0))&amp;" "&amp;INDEX(Anmeldung!$D$18:$D$47,IFERROR(VALUE(LEFT(Anmeldung!$V34,FIND(":",Anmeldung!$V34)-1)),0))))</f>
        <v/>
      </c>
      <c r="F118" s="1" t="str">
        <f>IF($A118="","",Anmeldung!$B34&amp;", "&amp;IFERROR(VALUE(LEFT(Anmeldung!$V34,FIND(":",Anmeldung!$V34)-1)),0))</f>
        <v/>
      </c>
      <c r="G118" s="1" t="str">
        <f>IF($A118="","",Anmeldung!$G34)</f>
        <v/>
      </c>
      <c r="H118" s="1" t="str">
        <f>IF($A118="","",Anmeldung!$J34)</f>
        <v/>
      </c>
      <c r="I118" s="1" t="str">
        <f>IF($A118="","",Anmeldung!$I34)</f>
        <v/>
      </c>
      <c r="J118" s="1" t="str">
        <f t="shared" si="1"/>
        <v/>
      </c>
    </row>
    <row r="119" spans="1:10" ht="14.25" customHeight="1" x14ac:dyDescent="0.3">
      <c r="A119" s="1" t="str">
        <f>IF(AND(Anmeldung!$D34&lt;&gt;"",Anmeldung!$W34="Ja"),"Bruchtest","")</f>
        <v/>
      </c>
      <c r="B119" s="1" t="str">
        <f>IF($A119="","",IF(YEAR(Anmeldung!$F34)&gt;=2009,"Bruchtest 16-17 Jahre / JG 2010-2009 / 1,0 cm",IF(YEAR(Anmeldung!$F34)&gt;=1986,"Bruchtest 18-40 Jahre / JG 2008-1986 / 1,5 cm","Bruchtest ab 41 Jahre / JG ab 1985 / 1,0 cm")))</f>
        <v/>
      </c>
      <c r="C119" s="1" t="str">
        <f t="shared" si="0"/>
        <v/>
      </c>
      <c r="D119" s="1" t="str">
        <f t="shared" ref="D119:D121" si="18">IF($A119="","","Einzel")</f>
        <v/>
      </c>
      <c r="E119" s="1" t="str">
        <f>IF($A119="","",Anmeldung!$E34&amp;" "&amp;Anmeldung!$D34)</f>
        <v/>
      </c>
      <c r="F119" s="1" t="str">
        <f>IF($A119="","",Anmeldung!$B34)</f>
        <v/>
      </c>
      <c r="G119" s="1" t="str">
        <f>IF($A119="","",Anmeldung!$G34)</f>
        <v/>
      </c>
      <c r="H119" s="1" t="str">
        <f>IF($A119="","",Anmeldung!$J34)</f>
        <v/>
      </c>
      <c r="I119" s="1" t="str">
        <f>IF($A119="","",Anmeldung!$I34)</f>
        <v/>
      </c>
      <c r="J119" s="1" t="str">
        <f t="shared" si="1"/>
        <v/>
      </c>
    </row>
    <row r="120" spans="1:10" ht="14.25" customHeight="1" x14ac:dyDescent="0.3">
      <c r="A120" s="1" t="str">
        <f>IF(AND(Anmeldung!$D34&lt;&gt;"",Anmeldung!$X34="Ja"),"Speed-Kicking","")</f>
        <v/>
      </c>
      <c r="B120" s="1" t="str">
        <f>IF($A120="","",Anmeldung!$G34)</f>
        <v/>
      </c>
      <c r="C120" s="1" t="str">
        <f t="shared" si="0"/>
        <v/>
      </c>
      <c r="D120" s="1" t="str">
        <f t="shared" si="18"/>
        <v/>
      </c>
      <c r="E120" s="1" t="str">
        <f>IF($A120="","",Anmeldung!$E34&amp;" "&amp;Anmeldung!$D34)</f>
        <v/>
      </c>
      <c r="F120" s="1" t="str">
        <f>IF($A120="","",Anmeldung!$B34)</f>
        <v/>
      </c>
      <c r="G120" s="1" t="str">
        <f>IF($A120="","",Anmeldung!$G34)</f>
        <v/>
      </c>
      <c r="H120" s="1" t="str">
        <f>IF($A120="","",Anmeldung!$J34)</f>
        <v/>
      </c>
      <c r="I120" s="1" t="str">
        <f>IF($A120="","",Anmeldung!$I34)</f>
        <v/>
      </c>
      <c r="J120" s="1" t="str">
        <f t="shared" si="1"/>
        <v/>
      </c>
    </row>
    <row r="121" spans="1:10" ht="14.25" customHeight="1" x14ac:dyDescent="0.3">
      <c r="A121" s="1" t="str">
        <f>IF(AND(Anmeldung!$D35&lt;&gt;"",Anmeldung!$K35="Ja"),"Poomsae Einzel","")</f>
        <v/>
      </c>
      <c r="B121" s="1" t="str">
        <f>IF($A121="","",Anmeldung!$G35&amp;" / "&amp;Anmeldung!$J35)</f>
        <v/>
      </c>
      <c r="C121" s="1" t="str">
        <f t="shared" si="0"/>
        <v/>
      </c>
      <c r="D121" s="1" t="str">
        <f t="shared" si="18"/>
        <v/>
      </c>
      <c r="E121" s="1" t="str">
        <f>IF($A121="","",Anmeldung!$E35&amp;" "&amp;Anmeldung!$D35)</f>
        <v/>
      </c>
      <c r="F121" s="1" t="str">
        <f>IF($A121="","",Anmeldung!$B35)</f>
        <v/>
      </c>
      <c r="G121" s="1" t="str">
        <f>IF($A121="","",Anmeldung!$G35)</f>
        <v/>
      </c>
      <c r="H121" s="1" t="str">
        <f>IF($A121="","",Anmeldung!$J35)</f>
        <v/>
      </c>
      <c r="I121" s="1" t="str">
        <f>IF($A121="","",Anmeldung!$I35)</f>
        <v/>
      </c>
      <c r="J121" s="1" t="str">
        <f t="shared" si="1"/>
        <v/>
      </c>
    </row>
    <row r="122" spans="1:10" ht="14.25" customHeight="1" x14ac:dyDescent="0.3">
      <c r="A122" s="1" t="str">
        <f>IF(AND(Anmeldung!$D35&lt;&gt;"",Anmeldung!$L35="Ja",IFERROR(VALUE(LEFT(Anmeldung!$M35,FIND(":",Anmeldung!$M35)-1)),0)&gt;0,Anmeldung!$B35=MIN(Anmeldung!$B35,IFERROR(VALUE(LEFT(Anmeldung!$M35,FIND(":",Anmeldung!$M35)-1)),0))),"Poomsae Paar","")</f>
        <v/>
      </c>
      <c r="B122" s="1" t="str">
        <f>IF($A122="","",Anmeldung!$G35&amp;" / "&amp;Anmeldung!$J35)</f>
        <v/>
      </c>
      <c r="C122" s="1" t="str">
        <f t="shared" si="0"/>
        <v/>
      </c>
      <c r="D122" s="1" t="str">
        <f>IF($A122="","","Paar")</f>
        <v/>
      </c>
      <c r="E122" s="1" t="str">
        <f t="array" ref="E122">IF($A122="","",Anmeldung!$E35&amp;" "&amp;Anmeldung!$D35&amp;" / "&amp;IF(IFERROR(VALUE(LEFT(Anmeldung!$M35,FIND(":",Anmeldung!$M35)-1)),0)=0,"",INDEX(Anmeldung!$E$18:$E$47,IFERROR(VALUE(LEFT(Anmeldung!$M35,FIND(":",Anmeldung!$M35)-1)),0))&amp;" "&amp;INDEX(Anmeldung!$D$18:$D$47,IFERROR(VALUE(LEFT(Anmeldung!$M35,FIND(":",Anmeldung!$M35)-1)),0))))</f>
        <v/>
      </c>
      <c r="F122" s="1" t="str">
        <f>IF($A122="","",Anmeldung!$B35&amp;", "&amp;IFERROR(VALUE(LEFT(Anmeldung!$M35,FIND(":",Anmeldung!$M35)-1)),0))</f>
        <v/>
      </c>
      <c r="G122" s="1" t="str">
        <f>IF($A122="","",Anmeldung!$G35)</f>
        <v/>
      </c>
      <c r="H122" s="1" t="str">
        <f>IF($A122="","",Anmeldung!$J35)</f>
        <v/>
      </c>
      <c r="I122" s="1" t="str">
        <f>IF($A122="","",Anmeldung!$I35)</f>
        <v/>
      </c>
      <c r="J122" s="1" t="str">
        <f t="shared" si="1"/>
        <v/>
      </c>
    </row>
    <row r="123" spans="1:10" ht="14.25" customHeight="1" x14ac:dyDescent="0.3">
      <c r="A123" s="1" t="str">
        <f>IF(AND(Anmeldung!$D35&lt;&gt;"",Anmeldung!$N35="Ja",IFERROR(VALUE(LEFT(Anmeldung!$O35,FIND(":",Anmeldung!$O35)-1)),0)&gt;0,IFERROR(VALUE(LEFT(Anmeldung!$P35,FIND(":",Anmeldung!$P35)-1)),0)&gt;0,Anmeldung!$B35=MIN(Anmeldung!$B35,IFERROR(VALUE(LEFT(Anmeldung!$O35,FIND(":",Anmeldung!$O35)-1)),0),IFERROR(VALUE(LEFT(Anmeldung!$P35,FIND(":",Anmeldung!$P35)-1)),0))),"Poomsae Team","")</f>
        <v/>
      </c>
      <c r="B123" s="1" t="str">
        <f>IF($A123="","",Anmeldung!$G35&amp;" / "&amp;Anmeldung!$J35)</f>
        <v/>
      </c>
      <c r="C123" s="1" t="str">
        <f t="shared" si="0"/>
        <v/>
      </c>
      <c r="D123" s="1" t="str">
        <f>IF($A123="","","Team")</f>
        <v/>
      </c>
      <c r="E123" s="1" t="str">
        <f t="array" ref="E123">IF($A123="","",Anmeldung!$E35&amp;" "&amp;Anmeldung!$D35&amp;" / "&amp;IF(IFERROR(VALUE(LEFT(Anmeldung!$O35,FIND(":",Anmeldung!$O35)-1)),0)=0,"",INDEX(Anmeldung!$E$18:$E$47,IFERROR(VALUE(LEFT(Anmeldung!$O35,FIND(":",Anmeldung!$O35)-1)),0))&amp;" "&amp;INDEX(Anmeldung!$D$18:$D$47,IFERROR(VALUE(LEFT(Anmeldung!$O35,FIND(":",Anmeldung!$O35)-1)),0)))&amp;" / "&amp;IF(IFERROR(VALUE(LEFT(Anmeldung!$P35,FIND(":",Anmeldung!$P35)-1)),0)=0,"",INDEX(Anmeldung!$E$18:$E$47,IFERROR(VALUE(LEFT(Anmeldung!$P35,FIND(":",Anmeldung!$P35)-1)),0))&amp;" "&amp;INDEX(Anmeldung!$D$18:$D$47,IFERROR(VALUE(LEFT(Anmeldung!$P35,FIND(":",Anmeldung!$P35)-1)),0))))</f>
        <v/>
      </c>
      <c r="F123" s="1" t="str">
        <f>IF($A123="","",Anmeldung!$B35&amp;", "&amp;IFERROR(VALUE(LEFT(Anmeldung!$O35,FIND(":",Anmeldung!$O35)-1)),0)&amp;", "&amp;IFERROR(VALUE(LEFT(Anmeldung!$P35,FIND(":",Anmeldung!$P35)-1)),0))</f>
        <v/>
      </c>
      <c r="G123" s="1" t="str">
        <f>IF($A123="","",Anmeldung!$G35)</f>
        <v/>
      </c>
      <c r="H123" s="1" t="str">
        <f>IF($A123="","",Anmeldung!$J35)</f>
        <v/>
      </c>
      <c r="I123" s="1" t="str">
        <f>IF($A123="","",Anmeldung!$I35)</f>
        <v/>
      </c>
      <c r="J123" s="1" t="str">
        <f t="shared" si="1"/>
        <v/>
      </c>
    </row>
    <row r="124" spans="1:10" ht="14.25" customHeight="1" x14ac:dyDescent="0.3">
      <c r="A124" s="1" t="str">
        <f>IF(AND(Anmeldung!$D35&lt;&gt;"",Anmeldung!$Q35="Ja",IFERROR(VALUE(LEFT(Anmeldung!$R35,FIND(":",Anmeldung!$R35)-1)),0)&gt;0,Anmeldung!$B35=MIN(Anmeldung!$B35,IFERROR(VALUE(LEFT(Anmeldung!$R35,FIND(":",Anmeldung!$R35)-1)),0),IF(IFERROR(VALUE(LEFT(Anmeldung!$S35,FIND(":",Anmeldung!$S35)-1)),0)=0,999,IFERROR(VALUE(LEFT(Anmeldung!$S35,FIND(":",Anmeldung!$S35)-1)),0)))),"Poomsae Family","")</f>
        <v/>
      </c>
      <c r="B124" s="1" t="str">
        <f>IF($A124="","","Poomsae Family / "&amp;Anmeldung!$T35)</f>
        <v/>
      </c>
      <c r="C124" s="1" t="str">
        <f t="shared" si="0"/>
        <v/>
      </c>
      <c r="D124" s="1" t="str">
        <f>IF($A124="","","Family")</f>
        <v/>
      </c>
      <c r="E124" s="1" t="str">
        <f t="array" ref="E124">IF($A124="","",Anmeldung!$E35&amp;" "&amp;Anmeldung!$D35&amp;" / "&amp;IF(IFERROR(VALUE(LEFT(Anmeldung!$R35,FIND(":",Anmeldung!$R35)-1)),0)=0,"",INDEX(Anmeldung!$E$18:$E$47,IFERROR(VALUE(LEFT(Anmeldung!$R35,FIND(":",Anmeldung!$R35)-1)),0))&amp;" "&amp;INDEX(Anmeldung!$D$18:$D$47,IFERROR(VALUE(LEFT(Anmeldung!$R35,FIND(":",Anmeldung!$R35)-1)),0)))&amp;IF(IFERROR(VALUE(LEFT(Anmeldung!$S35,FIND(":",Anmeldung!$S35)-1)),0)&gt;0," / "&amp;IF(IFERROR(VALUE(LEFT(Anmeldung!$S35,FIND(":",Anmeldung!$S35)-1)),0)=0,"",INDEX(Anmeldung!$E$18:$E$47,IFERROR(VALUE(LEFT(Anmeldung!$S35,FIND(":",Anmeldung!$S35)-1)),0))&amp;" "&amp;INDEX(Anmeldung!$D$18:$D$47,IFERROR(VALUE(LEFT(Anmeldung!$S35,FIND(":",Anmeldung!$S35)-1)),0))),""))</f>
        <v/>
      </c>
      <c r="F124" s="1" t="str">
        <f>IF($A124="","",Anmeldung!$B35&amp;", "&amp;IFERROR(VALUE(LEFT(Anmeldung!$R35,FIND(":",Anmeldung!$R35)-1)),0)&amp;IF(IFERROR(VALUE(LEFT(Anmeldung!$S35,FIND(":",Anmeldung!$S35)-1)),0)&gt;0,", "&amp;IFERROR(VALUE(LEFT(Anmeldung!$S35,FIND(":",Anmeldung!$S35)-1)),0),""))</f>
        <v/>
      </c>
      <c r="G124" s="1" t="str">
        <f>IF($A124="","","-")</f>
        <v/>
      </c>
      <c r="H124" s="1" t="str">
        <f>IF($A124="","",Anmeldung!$T35)</f>
        <v/>
      </c>
      <c r="I124" s="1" t="str">
        <f>IF($A124="","","niedrigste Graduierung")</f>
        <v/>
      </c>
      <c r="J124" s="1" t="str">
        <f t="shared" si="1"/>
        <v/>
      </c>
    </row>
    <row r="125" spans="1:10" ht="14.25" customHeight="1" x14ac:dyDescent="0.3">
      <c r="A125" s="1" t="str">
        <f>IF(AND(Anmeldung!$D35&lt;&gt;"",Anmeldung!$U35="Ja",IFERROR(VALUE(LEFT(Anmeldung!$V35,FIND(":",Anmeldung!$V35)-1)),0)&gt;0,Anmeldung!$B35=MIN(Anmeldung!$B35,IFERROR(VALUE(LEFT(Anmeldung!$V35,FIND(":",Anmeldung!$V35)-1)),0))),"Einschrittkampf","")</f>
        <v/>
      </c>
      <c r="B125" s="1" t="str">
        <f>IF($A125="","",Anmeldung!$G35&amp;" / "&amp;Anmeldung!$J35)</f>
        <v/>
      </c>
      <c r="C125" s="1" t="str">
        <f t="shared" si="0"/>
        <v/>
      </c>
      <c r="D125" s="1" t="str">
        <f>IF($A125="","","Paar")</f>
        <v/>
      </c>
      <c r="E125" s="1" t="str">
        <f t="array" ref="E125">IF($A125="","",Anmeldung!$E35&amp;" "&amp;Anmeldung!$D35&amp;" / "&amp;IF(IFERROR(VALUE(LEFT(Anmeldung!$V35,FIND(":",Anmeldung!$V35)-1)),0)=0,"",INDEX(Anmeldung!$E$18:$E$47,IFERROR(VALUE(LEFT(Anmeldung!$V35,FIND(":",Anmeldung!$V35)-1)),0))&amp;" "&amp;INDEX(Anmeldung!$D$18:$D$47,IFERROR(VALUE(LEFT(Anmeldung!$V35,FIND(":",Anmeldung!$V35)-1)),0))))</f>
        <v/>
      </c>
      <c r="F125" s="1" t="str">
        <f>IF($A125="","",Anmeldung!$B35&amp;", "&amp;IFERROR(VALUE(LEFT(Anmeldung!$V35,FIND(":",Anmeldung!$V35)-1)),0))</f>
        <v/>
      </c>
      <c r="G125" s="1" t="str">
        <f>IF($A125="","",Anmeldung!$G35)</f>
        <v/>
      </c>
      <c r="H125" s="1" t="str">
        <f>IF($A125="","",Anmeldung!$J35)</f>
        <v/>
      </c>
      <c r="I125" s="1" t="str">
        <f>IF($A125="","",Anmeldung!$I35)</f>
        <v/>
      </c>
      <c r="J125" s="1" t="str">
        <f t="shared" si="1"/>
        <v/>
      </c>
    </row>
    <row r="126" spans="1:10" ht="14.25" customHeight="1" x14ac:dyDescent="0.3">
      <c r="A126" s="1" t="str">
        <f>IF(AND(Anmeldung!$D35&lt;&gt;"",Anmeldung!$W35="Ja"),"Bruchtest","")</f>
        <v/>
      </c>
      <c r="B126" s="1" t="str">
        <f>IF($A126="","",IF(YEAR(Anmeldung!$F35)&gt;=2009,"Bruchtest 16-17 Jahre / JG 2010-2009 / 1,0 cm",IF(YEAR(Anmeldung!$F35)&gt;=1986,"Bruchtest 18-40 Jahre / JG 2008-1986 / 1,5 cm","Bruchtest ab 41 Jahre / JG ab 1985 / 1,0 cm")))</f>
        <v/>
      </c>
      <c r="C126" s="1" t="str">
        <f t="shared" si="0"/>
        <v/>
      </c>
      <c r="D126" s="1" t="str">
        <f t="shared" ref="D126:D128" si="19">IF($A126="","","Einzel")</f>
        <v/>
      </c>
      <c r="E126" s="1" t="str">
        <f>IF($A126="","",Anmeldung!$E35&amp;" "&amp;Anmeldung!$D35)</f>
        <v/>
      </c>
      <c r="F126" s="1" t="str">
        <f>IF($A126="","",Anmeldung!$B35)</f>
        <v/>
      </c>
      <c r="G126" s="1" t="str">
        <f>IF($A126="","",Anmeldung!$G35)</f>
        <v/>
      </c>
      <c r="H126" s="1" t="str">
        <f>IF($A126="","",Anmeldung!$J35)</f>
        <v/>
      </c>
      <c r="I126" s="1" t="str">
        <f>IF($A126="","",Anmeldung!$I35)</f>
        <v/>
      </c>
      <c r="J126" s="1" t="str">
        <f t="shared" si="1"/>
        <v/>
      </c>
    </row>
    <row r="127" spans="1:10" ht="14.25" customHeight="1" x14ac:dyDescent="0.3">
      <c r="A127" s="1" t="str">
        <f>IF(AND(Anmeldung!$D35&lt;&gt;"",Anmeldung!$X35="Ja"),"Speed-Kicking","")</f>
        <v/>
      </c>
      <c r="B127" s="1" t="str">
        <f>IF($A127="","",Anmeldung!$G35)</f>
        <v/>
      </c>
      <c r="C127" s="1" t="str">
        <f t="shared" si="0"/>
        <v/>
      </c>
      <c r="D127" s="1" t="str">
        <f t="shared" si="19"/>
        <v/>
      </c>
      <c r="E127" s="1" t="str">
        <f>IF($A127="","",Anmeldung!$E35&amp;" "&amp;Anmeldung!$D35)</f>
        <v/>
      </c>
      <c r="F127" s="1" t="str">
        <f>IF($A127="","",Anmeldung!$B35)</f>
        <v/>
      </c>
      <c r="G127" s="1" t="str">
        <f>IF($A127="","",Anmeldung!$G35)</f>
        <v/>
      </c>
      <c r="H127" s="1" t="str">
        <f>IF($A127="","",Anmeldung!$J35)</f>
        <v/>
      </c>
      <c r="I127" s="1" t="str">
        <f>IF($A127="","",Anmeldung!$I35)</f>
        <v/>
      </c>
      <c r="J127" s="1" t="str">
        <f t="shared" si="1"/>
        <v/>
      </c>
    </row>
    <row r="128" spans="1:10" ht="14.25" customHeight="1" x14ac:dyDescent="0.3">
      <c r="A128" s="1" t="str">
        <f>IF(AND(Anmeldung!$D36&lt;&gt;"",Anmeldung!$K36="Ja"),"Poomsae Einzel","")</f>
        <v/>
      </c>
      <c r="B128" s="1" t="str">
        <f>IF($A128="","",Anmeldung!$G36&amp;" / "&amp;Anmeldung!$J36)</f>
        <v/>
      </c>
      <c r="C128" s="1" t="str">
        <f t="shared" si="0"/>
        <v/>
      </c>
      <c r="D128" s="1" t="str">
        <f t="shared" si="19"/>
        <v/>
      </c>
      <c r="E128" s="1" t="str">
        <f>IF($A128="","",Anmeldung!$E36&amp;" "&amp;Anmeldung!$D36)</f>
        <v/>
      </c>
      <c r="F128" s="1" t="str">
        <f>IF($A128="","",Anmeldung!$B36)</f>
        <v/>
      </c>
      <c r="G128" s="1" t="str">
        <f>IF($A128="","",Anmeldung!$G36)</f>
        <v/>
      </c>
      <c r="H128" s="1" t="str">
        <f>IF($A128="","",Anmeldung!$J36)</f>
        <v/>
      </c>
      <c r="I128" s="1" t="str">
        <f>IF($A128="","",Anmeldung!$I36)</f>
        <v/>
      </c>
      <c r="J128" s="1" t="str">
        <f t="shared" si="1"/>
        <v/>
      </c>
    </row>
    <row r="129" spans="1:10" ht="14.25" customHeight="1" x14ac:dyDescent="0.3">
      <c r="A129" s="1" t="str">
        <f>IF(AND(Anmeldung!$D36&lt;&gt;"",Anmeldung!$L36="Ja",IFERROR(VALUE(LEFT(Anmeldung!$M36,FIND(":",Anmeldung!$M36)-1)),0)&gt;0,Anmeldung!$B36=MIN(Anmeldung!$B36,IFERROR(VALUE(LEFT(Anmeldung!$M36,FIND(":",Anmeldung!$M36)-1)),0))),"Poomsae Paar","")</f>
        <v/>
      </c>
      <c r="B129" s="1" t="str">
        <f>IF($A129="","",Anmeldung!$G36&amp;" / "&amp;Anmeldung!$J36)</f>
        <v/>
      </c>
      <c r="C129" s="1" t="str">
        <f t="shared" si="0"/>
        <v/>
      </c>
      <c r="D129" s="1" t="str">
        <f>IF($A129="","","Paar")</f>
        <v/>
      </c>
      <c r="E129" s="1" t="str">
        <f t="array" ref="E129">IF($A129="","",Anmeldung!$E36&amp;" "&amp;Anmeldung!$D36&amp;" / "&amp;IF(IFERROR(VALUE(LEFT(Anmeldung!$M36,FIND(":",Anmeldung!$M36)-1)),0)=0,"",INDEX(Anmeldung!$E$18:$E$47,IFERROR(VALUE(LEFT(Anmeldung!$M36,FIND(":",Anmeldung!$M36)-1)),0))&amp;" "&amp;INDEX(Anmeldung!$D$18:$D$47,IFERROR(VALUE(LEFT(Anmeldung!$M36,FIND(":",Anmeldung!$M36)-1)),0))))</f>
        <v/>
      </c>
      <c r="F129" s="1" t="str">
        <f>IF($A129="","",Anmeldung!$B36&amp;", "&amp;IFERROR(VALUE(LEFT(Anmeldung!$M36,FIND(":",Anmeldung!$M36)-1)),0))</f>
        <v/>
      </c>
      <c r="G129" s="1" t="str">
        <f>IF($A129="","",Anmeldung!$G36)</f>
        <v/>
      </c>
      <c r="H129" s="1" t="str">
        <f>IF($A129="","",Anmeldung!$J36)</f>
        <v/>
      </c>
      <c r="I129" s="1" t="str">
        <f>IF($A129="","",Anmeldung!$I36)</f>
        <v/>
      </c>
      <c r="J129" s="1" t="str">
        <f t="shared" si="1"/>
        <v/>
      </c>
    </row>
    <row r="130" spans="1:10" ht="14.25" customHeight="1" x14ac:dyDescent="0.3">
      <c r="A130" s="1" t="str">
        <f>IF(AND(Anmeldung!$D36&lt;&gt;"",Anmeldung!$N36="Ja",IFERROR(VALUE(LEFT(Anmeldung!$O36,FIND(":",Anmeldung!$O36)-1)),0)&gt;0,IFERROR(VALUE(LEFT(Anmeldung!$P36,FIND(":",Anmeldung!$P36)-1)),0)&gt;0,Anmeldung!$B36=MIN(Anmeldung!$B36,IFERROR(VALUE(LEFT(Anmeldung!$O36,FIND(":",Anmeldung!$O36)-1)),0),IFERROR(VALUE(LEFT(Anmeldung!$P36,FIND(":",Anmeldung!$P36)-1)),0))),"Poomsae Team","")</f>
        <v/>
      </c>
      <c r="B130" s="1" t="str">
        <f>IF($A130="","",Anmeldung!$G36&amp;" / "&amp;Anmeldung!$J36)</f>
        <v/>
      </c>
      <c r="C130" s="1" t="str">
        <f t="shared" si="0"/>
        <v/>
      </c>
      <c r="D130" s="1" t="str">
        <f>IF($A130="","","Team")</f>
        <v/>
      </c>
      <c r="E130" s="1" t="str">
        <f t="array" ref="E130">IF($A130="","",Anmeldung!$E36&amp;" "&amp;Anmeldung!$D36&amp;" / "&amp;IF(IFERROR(VALUE(LEFT(Anmeldung!$O36,FIND(":",Anmeldung!$O36)-1)),0)=0,"",INDEX(Anmeldung!$E$18:$E$47,IFERROR(VALUE(LEFT(Anmeldung!$O36,FIND(":",Anmeldung!$O36)-1)),0))&amp;" "&amp;INDEX(Anmeldung!$D$18:$D$47,IFERROR(VALUE(LEFT(Anmeldung!$O36,FIND(":",Anmeldung!$O36)-1)),0)))&amp;" / "&amp;IF(IFERROR(VALUE(LEFT(Anmeldung!$P36,FIND(":",Anmeldung!$P36)-1)),0)=0,"",INDEX(Anmeldung!$E$18:$E$47,IFERROR(VALUE(LEFT(Anmeldung!$P36,FIND(":",Anmeldung!$P36)-1)),0))&amp;" "&amp;INDEX(Anmeldung!$D$18:$D$47,IFERROR(VALUE(LEFT(Anmeldung!$P36,FIND(":",Anmeldung!$P36)-1)),0))))</f>
        <v/>
      </c>
      <c r="F130" s="1" t="str">
        <f>IF($A130="","",Anmeldung!$B36&amp;", "&amp;IFERROR(VALUE(LEFT(Anmeldung!$O36,FIND(":",Anmeldung!$O36)-1)),0)&amp;", "&amp;IFERROR(VALUE(LEFT(Anmeldung!$P36,FIND(":",Anmeldung!$P36)-1)),0))</f>
        <v/>
      </c>
      <c r="G130" s="1" t="str">
        <f>IF($A130="","",Anmeldung!$G36)</f>
        <v/>
      </c>
      <c r="H130" s="1" t="str">
        <f>IF($A130="","",Anmeldung!$J36)</f>
        <v/>
      </c>
      <c r="I130" s="1" t="str">
        <f>IF($A130="","",Anmeldung!$I36)</f>
        <v/>
      </c>
      <c r="J130" s="1" t="str">
        <f t="shared" si="1"/>
        <v/>
      </c>
    </row>
    <row r="131" spans="1:10" ht="14.25" customHeight="1" x14ac:dyDescent="0.3">
      <c r="A131" s="1" t="str">
        <f>IF(AND(Anmeldung!$D36&lt;&gt;"",Anmeldung!$Q36="Ja",IFERROR(VALUE(LEFT(Anmeldung!$R36,FIND(":",Anmeldung!$R36)-1)),0)&gt;0,Anmeldung!$B36=MIN(Anmeldung!$B36,IFERROR(VALUE(LEFT(Anmeldung!$R36,FIND(":",Anmeldung!$R36)-1)),0),IF(IFERROR(VALUE(LEFT(Anmeldung!$S36,FIND(":",Anmeldung!$S36)-1)),0)=0,999,IFERROR(VALUE(LEFT(Anmeldung!$S36,FIND(":",Anmeldung!$S36)-1)),0)))),"Poomsae Family","")</f>
        <v/>
      </c>
      <c r="B131" s="1" t="str">
        <f>IF($A131="","","Poomsae Family / "&amp;Anmeldung!$T36)</f>
        <v/>
      </c>
      <c r="C131" s="1" t="str">
        <f t="shared" si="0"/>
        <v/>
      </c>
      <c r="D131" s="1" t="str">
        <f>IF($A131="","","Family")</f>
        <v/>
      </c>
      <c r="E131" s="1" t="str">
        <f t="array" ref="E131">IF($A131="","",Anmeldung!$E36&amp;" "&amp;Anmeldung!$D36&amp;" / "&amp;IF(IFERROR(VALUE(LEFT(Anmeldung!$R36,FIND(":",Anmeldung!$R36)-1)),0)=0,"",INDEX(Anmeldung!$E$18:$E$47,IFERROR(VALUE(LEFT(Anmeldung!$R36,FIND(":",Anmeldung!$R36)-1)),0))&amp;" "&amp;INDEX(Anmeldung!$D$18:$D$47,IFERROR(VALUE(LEFT(Anmeldung!$R36,FIND(":",Anmeldung!$R36)-1)),0)))&amp;IF(IFERROR(VALUE(LEFT(Anmeldung!$S36,FIND(":",Anmeldung!$S36)-1)),0)&gt;0," / "&amp;IF(IFERROR(VALUE(LEFT(Anmeldung!$S36,FIND(":",Anmeldung!$S36)-1)),0)=0,"",INDEX(Anmeldung!$E$18:$E$47,IFERROR(VALUE(LEFT(Anmeldung!$S36,FIND(":",Anmeldung!$S36)-1)),0))&amp;" "&amp;INDEX(Anmeldung!$D$18:$D$47,IFERROR(VALUE(LEFT(Anmeldung!$S36,FIND(":",Anmeldung!$S36)-1)),0))),""))</f>
        <v/>
      </c>
      <c r="F131" s="1" t="str">
        <f>IF($A131="","",Anmeldung!$B36&amp;", "&amp;IFERROR(VALUE(LEFT(Anmeldung!$R36,FIND(":",Anmeldung!$R36)-1)),0)&amp;IF(IFERROR(VALUE(LEFT(Anmeldung!$S36,FIND(":",Anmeldung!$S36)-1)),0)&gt;0,", "&amp;IFERROR(VALUE(LEFT(Anmeldung!$S36,FIND(":",Anmeldung!$S36)-1)),0),""))</f>
        <v/>
      </c>
      <c r="G131" s="1" t="str">
        <f>IF($A131="","","-")</f>
        <v/>
      </c>
      <c r="H131" s="1" t="str">
        <f>IF($A131="","",Anmeldung!$T36)</f>
        <v/>
      </c>
      <c r="I131" s="1" t="str">
        <f>IF($A131="","","niedrigste Graduierung")</f>
        <v/>
      </c>
      <c r="J131" s="1" t="str">
        <f t="shared" si="1"/>
        <v/>
      </c>
    </row>
    <row r="132" spans="1:10" ht="14.25" customHeight="1" x14ac:dyDescent="0.3">
      <c r="A132" s="1" t="str">
        <f>IF(AND(Anmeldung!$D36&lt;&gt;"",Anmeldung!$U36="Ja",IFERROR(VALUE(LEFT(Anmeldung!$V36,FIND(":",Anmeldung!$V36)-1)),0)&gt;0,Anmeldung!$B36=MIN(Anmeldung!$B36,IFERROR(VALUE(LEFT(Anmeldung!$V36,FIND(":",Anmeldung!$V36)-1)),0))),"Einschrittkampf","")</f>
        <v/>
      </c>
      <c r="B132" s="1" t="str">
        <f>IF($A132="","",Anmeldung!$G36&amp;" / "&amp;Anmeldung!$J36)</f>
        <v/>
      </c>
      <c r="C132" s="1" t="str">
        <f t="shared" si="0"/>
        <v/>
      </c>
      <c r="D132" s="1" t="str">
        <f>IF($A132="","","Paar")</f>
        <v/>
      </c>
      <c r="E132" s="1" t="str">
        <f t="array" ref="E132">IF($A132="","",Anmeldung!$E36&amp;" "&amp;Anmeldung!$D36&amp;" / "&amp;IF(IFERROR(VALUE(LEFT(Anmeldung!$V36,FIND(":",Anmeldung!$V36)-1)),0)=0,"",INDEX(Anmeldung!$E$18:$E$47,IFERROR(VALUE(LEFT(Anmeldung!$V36,FIND(":",Anmeldung!$V36)-1)),0))&amp;" "&amp;INDEX(Anmeldung!$D$18:$D$47,IFERROR(VALUE(LEFT(Anmeldung!$V36,FIND(":",Anmeldung!$V36)-1)),0))))</f>
        <v/>
      </c>
      <c r="F132" s="1" t="str">
        <f>IF($A132="","",Anmeldung!$B36&amp;", "&amp;IFERROR(VALUE(LEFT(Anmeldung!$V36,FIND(":",Anmeldung!$V36)-1)),0))</f>
        <v/>
      </c>
      <c r="G132" s="1" t="str">
        <f>IF($A132="","",Anmeldung!$G36)</f>
        <v/>
      </c>
      <c r="H132" s="1" t="str">
        <f>IF($A132="","",Anmeldung!$J36)</f>
        <v/>
      </c>
      <c r="I132" s="1" t="str">
        <f>IF($A132="","",Anmeldung!$I36)</f>
        <v/>
      </c>
      <c r="J132" s="1" t="str">
        <f t="shared" si="1"/>
        <v/>
      </c>
    </row>
    <row r="133" spans="1:10" ht="14.25" customHeight="1" x14ac:dyDescent="0.3">
      <c r="A133" s="1" t="str">
        <f>IF(AND(Anmeldung!$D36&lt;&gt;"",Anmeldung!$W36="Ja"),"Bruchtest","")</f>
        <v/>
      </c>
      <c r="B133" s="1" t="str">
        <f>IF($A133="","",IF(YEAR(Anmeldung!$F36)&gt;=2009,"Bruchtest 16-17 Jahre / JG 2010-2009 / 1,0 cm",IF(YEAR(Anmeldung!$F36)&gt;=1986,"Bruchtest 18-40 Jahre / JG 2008-1986 / 1,5 cm","Bruchtest ab 41 Jahre / JG ab 1985 / 1,0 cm")))</f>
        <v/>
      </c>
      <c r="C133" s="1" t="str">
        <f t="shared" si="0"/>
        <v/>
      </c>
      <c r="D133" s="1" t="str">
        <f t="shared" ref="D133:D135" si="20">IF($A133="","","Einzel")</f>
        <v/>
      </c>
      <c r="E133" s="1" t="str">
        <f>IF($A133="","",Anmeldung!$E36&amp;" "&amp;Anmeldung!$D36)</f>
        <v/>
      </c>
      <c r="F133" s="1" t="str">
        <f>IF($A133="","",Anmeldung!$B36)</f>
        <v/>
      </c>
      <c r="G133" s="1" t="str">
        <f>IF($A133="","",Anmeldung!$G36)</f>
        <v/>
      </c>
      <c r="H133" s="1" t="str">
        <f>IF($A133="","",Anmeldung!$J36)</f>
        <v/>
      </c>
      <c r="I133" s="1" t="str">
        <f>IF($A133="","",Anmeldung!$I36)</f>
        <v/>
      </c>
      <c r="J133" s="1" t="str">
        <f t="shared" si="1"/>
        <v/>
      </c>
    </row>
    <row r="134" spans="1:10" ht="14.25" customHeight="1" x14ac:dyDescent="0.3">
      <c r="A134" s="1" t="str">
        <f>IF(AND(Anmeldung!$D36&lt;&gt;"",Anmeldung!$X36="Ja"),"Speed-Kicking","")</f>
        <v/>
      </c>
      <c r="B134" s="1" t="str">
        <f>IF($A134="","",Anmeldung!$G36)</f>
        <v/>
      </c>
      <c r="C134" s="1" t="str">
        <f t="shared" si="0"/>
        <v/>
      </c>
      <c r="D134" s="1" t="str">
        <f t="shared" si="20"/>
        <v/>
      </c>
      <c r="E134" s="1" t="str">
        <f>IF($A134="","",Anmeldung!$E36&amp;" "&amp;Anmeldung!$D36)</f>
        <v/>
      </c>
      <c r="F134" s="1" t="str">
        <f>IF($A134="","",Anmeldung!$B36)</f>
        <v/>
      </c>
      <c r="G134" s="1" t="str">
        <f>IF($A134="","",Anmeldung!$G36)</f>
        <v/>
      </c>
      <c r="H134" s="1" t="str">
        <f>IF($A134="","",Anmeldung!$J36)</f>
        <v/>
      </c>
      <c r="I134" s="1" t="str">
        <f>IF($A134="","",Anmeldung!$I36)</f>
        <v/>
      </c>
      <c r="J134" s="1" t="str">
        <f t="shared" si="1"/>
        <v/>
      </c>
    </row>
    <row r="135" spans="1:10" ht="14.25" customHeight="1" x14ac:dyDescent="0.3">
      <c r="A135" s="1" t="str">
        <f>IF(AND(Anmeldung!$D37&lt;&gt;"",Anmeldung!$K37="Ja"),"Poomsae Einzel","")</f>
        <v/>
      </c>
      <c r="B135" s="1" t="str">
        <f>IF($A135="","",Anmeldung!$G37&amp;" / "&amp;Anmeldung!$J37)</f>
        <v/>
      </c>
      <c r="C135" s="1" t="str">
        <f t="shared" si="0"/>
        <v/>
      </c>
      <c r="D135" s="1" t="str">
        <f t="shared" si="20"/>
        <v/>
      </c>
      <c r="E135" s="1" t="str">
        <f>IF($A135="","",Anmeldung!$E37&amp;" "&amp;Anmeldung!$D37)</f>
        <v/>
      </c>
      <c r="F135" s="1" t="str">
        <f>IF($A135="","",Anmeldung!$B37)</f>
        <v/>
      </c>
      <c r="G135" s="1" t="str">
        <f>IF($A135="","",Anmeldung!$G37)</f>
        <v/>
      </c>
      <c r="H135" s="1" t="str">
        <f>IF($A135="","",Anmeldung!$J37)</f>
        <v/>
      </c>
      <c r="I135" s="1" t="str">
        <f>IF($A135="","",Anmeldung!$I37)</f>
        <v/>
      </c>
      <c r="J135" s="1" t="str">
        <f t="shared" si="1"/>
        <v/>
      </c>
    </row>
    <row r="136" spans="1:10" ht="14.25" customHeight="1" x14ac:dyDescent="0.3">
      <c r="A136" s="1" t="str">
        <f>IF(AND(Anmeldung!$D37&lt;&gt;"",Anmeldung!$L37="Ja",IFERROR(VALUE(LEFT(Anmeldung!$M37,FIND(":",Anmeldung!$M37)-1)),0)&gt;0,Anmeldung!$B37=MIN(Anmeldung!$B37,IFERROR(VALUE(LEFT(Anmeldung!$M37,FIND(":",Anmeldung!$M37)-1)),0))),"Poomsae Paar","")</f>
        <v/>
      </c>
      <c r="B136" s="1" t="str">
        <f>IF($A136="","",Anmeldung!$G37&amp;" / "&amp;Anmeldung!$J37)</f>
        <v/>
      </c>
      <c r="C136" s="1" t="str">
        <f t="shared" si="0"/>
        <v/>
      </c>
      <c r="D136" s="1" t="str">
        <f>IF($A136="","","Paar")</f>
        <v/>
      </c>
      <c r="E136" s="1" t="str">
        <f t="array" ref="E136">IF($A136="","",Anmeldung!$E37&amp;" "&amp;Anmeldung!$D37&amp;" / "&amp;IF(IFERROR(VALUE(LEFT(Anmeldung!$M37,FIND(":",Anmeldung!$M37)-1)),0)=0,"",INDEX(Anmeldung!$E$18:$E$47,IFERROR(VALUE(LEFT(Anmeldung!$M37,FIND(":",Anmeldung!$M37)-1)),0))&amp;" "&amp;INDEX(Anmeldung!$D$18:$D$47,IFERROR(VALUE(LEFT(Anmeldung!$M37,FIND(":",Anmeldung!$M37)-1)),0))))</f>
        <v/>
      </c>
      <c r="F136" s="1" t="str">
        <f>IF($A136="","",Anmeldung!$B37&amp;", "&amp;IFERROR(VALUE(LEFT(Anmeldung!$M37,FIND(":",Anmeldung!$M37)-1)),0))</f>
        <v/>
      </c>
      <c r="G136" s="1" t="str">
        <f>IF($A136="","",Anmeldung!$G37)</f>
        <v/>
      </c>
      <c r="H136" s="1" t="str">
        <f>IF($A136="","",Anmeldung!$J37)</f>
        <v/>
      </c>
      <c r="I136" s="1" t="str">
        <f>IF($A136="","",Anmeldung!$I37)</f>
        <v/>
      </c>
      <c r="J136" s="1" t="str">
        <f t="shared" si="1"/>
        <v/>
      </c>
    </row>
    <row r="137" spans="1:10" ht="14.25" customHeight="1" x14ac:dyDescent="0.3">
      <c r="A137" s="1" t="str">
        <f>IF(AND(Anmeldung!$D37&lt;&gt;"",Anmeldung!$N37="Ja",IFERROR(VALUE(LEFT(Anmeldung!$O37,FIND(":",Anmeldung!$O37)-1)),0)&gt;0,IFERROR(VALUE(LEFT(Anmeldung!$P37,FIND(":",Anmeldung!$P37)-1)),0)&gt;0,Anmeldung!$B37=MIN(Anmeldung!$B37,IFERROR(VALUE(LEFT(Anmeldung!$O37,FIND(":",Anmeldung!$O37)-1)),0),IFERROR(VALUE(LEFT(Anmeldung!$P37,FIND(":",Anmeldung!$P37)-1)),0))),"Poomsae Team","")</f>
        <v/>
      </c>
      <c r="B137" s="1" t="str">
        <f>IF($A137="","",Anmeldung!$G37&amp;" / "&amp;Anmeldung!$J37)</f>
        <v/>
      </c>
      <c r="C137" s="1" t="str">
        <f t="shared" si="0"/>
        <v/>
      </c>
      <c r="D137" s="1" t="str">
        <f>IF($A137="","","Team")</f>
        <v/>
      </c>
      <c r="E137" s="1" t="str">
        <f t="array" ref="E137">IF($A137="","",Anmeldung!$E37&amp;" "&amp;Anmeldung!$D37&amp;" / "&amp;IF(IFERROR(VALUE(LEFT(Anmeldung!$O37,FIND(":",Anmeldung!$O37)-1)),0)=0,"",INDEX(Anmeldung!$E$18:$E$47,IFERROR(VALUE(LEFT(Anmeldung!$O37,FIND(":",Anmeldung!$O37)-1)),0))&amp;" "&amp;INDEX(Anmeldung!$D$18:$D$47,IFERROR(VALUE(LEFT(Anmeldung!$O37,FIND(":",Anmeldung!$O37)-1)),0)))&amp;" / "&amp;IF(IFERROR(VALUE(LEFT(Anmeldung!$P37,FIND(":",Anmeldung!$P37)-1)),0)=0,"",INDEX(Anmeldung!$E$18:$E$47,IFERROR(VALUE(LEFT(Anmeldung!$P37,FIND(":",Anmeldung!$P37)-1)),0))&amp;" "&amp;INDEX(Anmeldung!$D$18:$D$47,IFERROR(VALUE(LEFT(Anmeldung!$P37,FIND(":",Anmeldung!$P37)-1)),0))))</f>
        <v/>
      </c>
      <c r="F137" s="1" t="str">
        <f>IF($A137="","",Anmeldung!$B37&amp;", "&amp;IFERROR(VALUE(LEFT(Anmeldung!$O37,FIND(":",Anmeldung!$O37)-1)),0)&amp;", "&amp;IFERROR(VALUE(LEFT(Anmeldung!$P37,FIND(":",Anmeldung!$P37)-1)),0))</f>
        <v/>
      </c>
      <c r="G137" s="1" t="str">
        <f>IF($A137="","",Anmeldung!$G37)</f>
        <v/>
      </c>
      <c r="H137" s="1" t="str">
        <f>IF($A137="","",Anmeldung!$J37)</f>
        <v/>
      </c>
      <c r="I137" s="1" t="str">
        <f>IF($A137="","",Anmeldung!$I37)</f>
        <v/>
      </c>
      <c r="J137" s="1" t="str">
        <f t="shared" si="1"/>
        <v/>
      </c>
    </row>
    <row r="138" spans="1:10" ht="14.25" customHeight="1" x14ac:dyDescent="0.3">
      <c r="A138" s="1" t="str">
        <f>IF(AND(Anmeldung!$D37&lt;&gt;"",Anmeldung!$Q37="Ja",IFERROR(VALUE(LEFT(Anmeldung!$R37,FIND(":",Anmeldung!$R37)-1)),0)&gt;0,Anmeldung!$B37=MIN(Anmeldung!$B37,IFERROR(VALUE(LEFT(Anmeldung!$R37,FIND(":",Anmeldung!$R37)-1)),0),IF(IFERROR(VALUE(LEFT(Anmeldung!$S37,FIND(":",Anmeldung!$S37)-1)),0)=0,999,IFERROR(VALUE(LEFT(Anmeldung!$S37,FIND(":",Anmeldung!$S37)-1)),0)))),"Poomsae Family","")</f>
        <v/>
      </c>
      <c r="B138" s="1" t="str">
        <f>IF($A138="","","Poomsae Family / "&amp;Anmeldung!$T37)</f>
        <v/>
      </c>
      <c r="C138" s="1" t="str">
        <f t="shared" si="0"/>
        <v/>
      </c>
      <c r="D138" s="1" t="str">
        <f>IF($A138="","","Family")</f>
        <v/>
      </c>
      <c r="E138" s="1" t="str">
        <f t="array" ref="E138">IF($A138="","",Anmeldung!$E37&amp;" "&amp;Anmeldung!$D37&amp;" / "&amp;IF(IFERROR(VALUE(LEFT(Anmeldung!$R37,FIND(":",Anmeldung!$R37)-1)),0)=0,"",INDEX(Anmeldung!$E$18:$E$47,IFERROR(VALUE(LEFT(Anmeldung!$R37,FIND(":",Anmeldung!$R37)-1)),0))&amp;" "&amp;INDEX(Anmeldung!$D$18:$D$47,IFERROR(VALUE(LEFT(Anmeldung!$R37,FIND(":",Anmeldung!$R37)-1)),0)))&amp;IF(IFERROR(VALUE(LEFT(Anmeldung!$S37,FIND(":",Anmeldung!$S37)-1)),0)&gt;0," / "&amp;IF(IFERROR(VALUE(LEFT(Anmeldung!$S37,FIND(":",Anmeldung!$S37)-1)),0)=0,"",INDEX(Anmeldung!$E$18:$E$47,IFERROR(VALUE(LEFT(Anmeldung!$S37,FIND(":",Anmeldung!$S37)-1)),0))&amp;" "&amp;INDEX(Anmeldung!$D$18:$D$47,IFERROR(VALUE(LEFT(Anmeldung!$S37,FIND(":",Anmeldung!$S37)-1)),0))),""))</f>
        <v/>
      </c>
      <c r="F138" s="1" t="str">
        <f>IF($A138="","",Anmeldung!$B37&amp;", "&amp;IFERROR(VALUE(LEFT(Anmeldung!$R37,FIND(":",Anmeldung!$R37)-1)),0)&amp;IF(IFERROR(VALUE(LEFT(Anmeldung!$S37,FIND(":",Anmeldung!$S37)-1)),0)&gt;0,", "&amp;IFERROR(VALUE(LEFT(Anmeldung!$S37,FIND(":",Anmeldung!$S37)-1)),0),""))</f>
        <v/>
      </c>
      <c r="G138" s="1" t="str">
        <f>IF($A138="","","-")</f>
        <v/>
      </c>
      <c r="H138" s="1" t="str">
        <f>IF($A138="","",Anmeldung!$T37)</f>
        <v/>
      </c>
      <c r="I138" s="1" t="str">
        <f>IF($A138="","","niedrigste Graduierung")</f>
        <v/>
      </c>
      <c r="J138" s="1" t="str">
        <f t="shared" si="1"/>
        <v/>
      </c>
    </row>
    <row r="139" spans="1:10" ht="14.25" customHeight="1" x14ac:dyDescent="0.3">
      <c r="A139" s="1" t="str">
        <f>IF(AND(Anmeldung!$D37&lt;&gt;"",Anmeldung!$U37="Ja",IFERROR(VALUE(LEFT(Anmeldung!$V37,FIND(":",Anmeldung!$V37)-1)),0)&gt;0,Anmeldung!$B37=MIN(Anmeldung!$B37,IFERROR(VALUE(LEFT(Anmeldung!$V37,FIND(":",Anmeldung!$V37)-1)),0))),"Einschrittkampf","")</f>
        <v/>
      </c>
      <c r="B139" s="1" t="str">
        <f>IF($A139="","",Anmeldung!$G37&amp;" / "&amp;Anmeldung!$J37)</f>
        <v/>
      </c>
      <c r="C139" s="1" t="str">
        <f t="shared" si="0"/>
        <v/>
      </c>
      <c r="D139" s="1" t="str">
        <f>IF($A139="","","Paar")</f>
        <v/>
      </c>
      <c r="E139" s="1" t="str">
        <f t="array" ref="E139">IF($A139="","",Anmeldung!$E37&amp;" "&amp;Anmeldung!$D37&amp;" / "&amp;IF(IFERROR(VALUE(LEFT(Anmeldung!$V37,FIND(":",Anmeldung!$V37)-1)),0)=0,"",INDEX(Anmeldung!$E$18:$E$47,IFERROR(VALUE(LEFT(Anmeldung!$V37,FIND(":",Anmeldung!$V37)-1)),0))&amp;" "&amp;INDEX(Anmeldung!$D$18:$D$47,IFERROR(VALUE(LEFT(Anmeldung!$V37,FIND(":",Anmeldung!$V37)-1)),0))))</f>
        <v/>
      </c>
      <c r="F139" s="1" t="str">
        <f>IF($A139="","",Anmeldung!$B37&amp;", "&amp;IFERROR(VALUE(LEFT(Anmeldung!$V37,FIND(":",Anmeldung!$V37)-1)),0))</f>
        <v/>
      </c>
      <c r="G139" s="1" t="str">
        <f>IF($A139="","",Anmeldung!$G37)</f>
        <v/>
      </c>
      <c r="H139" s="1" t="str">
        <f>IF($A139="","",Anmeldung!$J37)</f>
        <v/>
      </c>
      <c r="I139" s="1" t="str">
        <f>IF($A139="","",Anmeldung!$I37)</f>
        <v/>
      </c>
      <c r="J139" s="1" t="str">
        <f t="shared" si="1"/>
        <v/>
      </c>
    </row>
    <row r="140" spans="1:10" ht="14.25" customHeight="1" x14ac:dyDescent="0.3">
      <c r="A140" s="1" t="str">
        <f>IF(AND(Anmeldung!$D37&lt;&gt;"",Anmeldung!$W37="Ja"),"Bruchtest","")</f>
        <v/>
      </c>
      <c r="B140" s="1" t="str">
        <f>IF($A140="","",IF(YEAR(Anmeldung!$F37)&gt;=2009,"Bruchtest 16-17 Jahre / JG 2010-2009 / 1,0 cm",IF(YEAR(Anmeldung!$F37)&gt;=1986,"Bruchtest 18-40 Jahre / JG 2008-1986 / 1,5 cm","Bruchtest ab 41 Jahre / JG ab 1985 / 1,0 cm")))</f>
        <v/>
      </c>
      <c r="C140" s="1" t="str">
        <f t="shared" si="0"/>
        <v/>
      </c>
      <c r="D140" s="1" t="str">
        <f t="shared" ref="D140:D142" si="21">IF($A140="","","Einzel")</f>
        <v/>
      </c>
      <c r="E140" s="1" t="str">
        <f>IF($A140="","",Anmeldung!$E37&amp;" "&amp;Anmeldung!$D37)</f>
        <v/>
      </c>
      <c r="F140" s="1" t="str">
        <f>IF($A140="","",Anmeldung!$B37)</f>
        <v/>
      </c>
      <c r="G140" s="1" t="str">
        <f>IF($A140="","",Anmeldung!$G37)</f>
        <v/>
      </c>
      <c r="H140" s="1" t="str">
        <f>IF($A140="","",Anmeldung!$J37)</f>
        <v/>
      </c>
      <c r="I140" s="1" t="str">
        <f>IF($A140="","",Anmeldung!$I37)</f>
        <v/>
      </c>
      <c r="J140" s="1" t="str">
        <f t="shared" si="1"/>
        <v/>
      </c>
    </row>
    <row r="141" spans="1:10" ht="14.25" customHeight="1" x14ac:dyDescent="0.3">
      <c r="A141" s="1" t="str">
        <f>IF(AND(Anmeldung!$D37&lt;&gt;"",Anmeldung!$X37="Ja"),"Speed-Kicking","")</f>
        <v/>
      </c>
      <c r="B141" s="1" t="str">
        <f>IF($A141="","",Anmeldung!$G37)</f>
        <v/>
      </c>
      <c r="C141" s="1" t="str">
        <f t="shared" si="0"/>
        <v/>
      </c>
      <c r="D141" s="1" t="str">
        <f t="shared" si="21"/>
        <v/>
      </c>
      <c r="E141" s="1" t="str">
        <f>IF($A141="","",Anmeldung!$E37&amp;" "&amp;Anmeldung!$D37)</f>
        <v/>
      </c>
      <c r="F141" s="1" t="str">
        <f>IF($A141="","",Anmeldung!$B37)</f>
        <v/>
      </c>
      <c r="G141" s="1" t="str">
        <f>IF($A141="","",Anmeldung!$G37)</f>
        <v/>
      </c>
      <c r="H141" s="1" t="str">
        <f>IF($A141="","",Anmeldung!$J37)</f>
        <v/>
      </c>
      <c r="I141" s="1" t="str">
        <f>IF($A141="","",Anmeldung!$I37)</f>
        <v/>
      </c>
      <c r="J141" s="1" t="str">
        <f t="shared" si="1"/>
        <v/>
      </c>
    </row>
    <row r="142" spans="1:10" ht="14.25" customHeight="1" x14ac:dyDescent="0.3">
      <c r="A142" s="1" t="str">
        <f>IF(AND(Anmeldung!$D38&lt;&gt;"",Anmeldung!$K38="Ja"),"Poomsae Einzel","")</f>
        <v/>
      </c>
      <c r="B142" s="1" t="str">
        <f>IF($A142="","",Anmeldung!$G38&amp;" / "&amp;Anmeldung!$J38)</f>
        <v/>
      </c>
      <c r="C142" s="1" t="str">
        <f t="shared" si="0"/>
        <v/>
      </c>
      <c r="D142" s="1" t="str">
        <f t="shared" si="21"/>
        <v/>
      </c>
      <c r="E142" s="1" t="str">
        <f>IF($A142="","",Anmeldung!$E38&amp;" "&amp;Anmeldung!$D38)</f>
        <v/>
      </c>
      <c r="F142" s="1" t="str">
        <f>IF($A142="","",Anmeldung!$B38)</f>
        <v/>
      </c>
      <c r="G142" s="1" t="str">
        <f>IF($A142="","",Anmeldung!$G38)</f>
        <v/>
      </c>
      <c r="H142" s="1" t="str">
        <f>IF($A142="","",Anmeldung!$J38)</f>
        <v/>
      </c>
      <c r="I142" s="1" t="str">
        <f>IF($A142="","",Anmeldung!$I38)</f>
        <v/>
      </c>
      <c r="J142" s="1" t="str">
        <f t="shared" si="1"/>
        <v/>
      </c>
    </row>
    <row r="143" spans="1:10" ht="14.25" customHeight="1" x14ac:dyDescent="0.3">
      <c r="A143" s="1" t="str">
        <f>IF(AND(Anmeldung!$D38&lt;&gt;"",Anmeldung!$L38="Ja",IFERROR(VALUE(LEFT(Anmeldung!$M38,FIND(":",Anmeldung!$M38)-1)),0)&gt;0,Anmeldung!$B38=MIN(Anmeldung!$B38,IFERROR(VALUE(LEFT(Anmeldung!$M38,FIND(":",Anmeldung!$M38)-1)),0))),"Poomsae Paar","")</f>
        <v/>
      </c>
      <c r="B143" s="1" t="str">
        <f>IF($A143="","",Anmeldung!$G38&amp;" / "&amp;Anmeldung!$J38)</f>
        <v/>
      </c>
      <c r="C143" s="1" t="str">
        <f t="shared" si="0"/>
        <v/>
      </c>
      <c r="D143" s="1" t="str">
        <f>IF($A143="","","Paar")</f>
        <v/>
      </c>
      <c r="E143" s="1" t="str">
        <f t="array" ref="E143">IF($A143="","",Anmeldung!$E38&amp;" "&amp;Anmeldung!$D38&amp;" / "&amp;IF(IFERROR(VALUE(LEFT(Anmeldung!$M38,FIND(":",Anmeldung!$M38)-1)),0)=0,"",INDEX(Anmeldung!$E$18:$E$47,IFERROR(VALUE(LEFT(Anmeldung!$M38,FIND(":",Anmeldung!$M38)-1)),0))&amp;" "&amp;INDEX(Anmeldung!$D$18:$D$47,IFERROR(VALUE(LEFT(Anmeldung!$M38,FIND(":",Anmeldung!$M38)-1)),0))))</f>
        <v/>
      </c>
      <c r="F143" s="1" t="str">
        <f>IF($A143="","",Anmeldung!$B38&amp;", "&amp;IFERROR(VALUE(LEFT(Anmeldung!$M38,FIND(":",Anmeldung!$M38)-1)),0))</f>
        <v/>
      </c>
      <c r="G143" s="1" t="str">
        <f>IF($A143="","",Anmeldung!$G38)</f>
        <v/>
      </c>
      <c r="H143" s="1" t="str">
        <f>IF($A143="","",Anmeldung!$J38)</f>
        <v/>
      </c>
      <c r="I143" s="1" t="str">
        <f>IF($A143="","",Anmeldung!$I38)</f>
        <v/>
      </c>
      <c r="J143" s="1" t="str">
        <f t="shared" si="1"/>
        <v/>
      </c>
    </row>
    <row r="144" spans="1:10" ht="14.25" customHeight="1" x14ac:dyDescent="0.3">
      <c r="A144" s="1" t="str">
        <f>IF(AND(Anmeldung!$D38&lt;&gt;"",Anmeldung!$N38="Ja",IFERROR(VALUE(LEFT(Anmeldung!$O38,FIND(":",Anmeldung!$O38)-1)),0)&gt;0,IFERROR(VALUE(LEFT(Anmeldung!$P38,FIND(":",Anmeldung!$P38)-1)),0)&gt;0,Anmeldung!$B38=MIN(Anmeldung!$B38,IFERROR(VALUE(LEFT(Anmeldung!$O38,FIND(":",Anmeldung!$O38)-1)),0),IFERROR(VALUE(LEFT(Anmeldung!$P38,FIND(":",Anmeldung!$P38)-1)),0))),"Poomsae Team","")</f>
        <v/>
      </c>
      <c r="B144" s="1" t="str">
        <f>IF($A144="","",Anmeldung!$G38&amp;" / "&amp;Anmeldung!$J38)</f>
        <v/>
      </c>
      <c r="C144" s="1" t="str">
        <f t="shared" si="0"/>
        <v/>
      </c>
      <c r="D144" s="1" t="str">
        <f>IF($A144="","","Team")</f>
        <v/>
      </c>
      <c r="E144" s="1" t="str">
        <f t="array" ref="E144">IF($A144="","",Anmeldung!$E38&amp;" "&amp;Anmeldung!$D38&amp;" / "&amp;IF(IFERROR(VALUE(LEFT(Anmeldung!$O38,FIND(":",Anmeldung!$O38)-1)),0)=0,"",INDEX(Anmeldung!$E$18:$E$47,IFERROR(VALUE(LEFT(Anmeldung!$O38,FIND(":",Anmeldung!$O38)-1)),0))&amp;" "&amp;INDEX(Anmeldung!$D$18:$D$47,IFERROR(VALUE(LEFT(Anmeldung!$O38,FIND(":",Anmeldung!$O38)-1)),0)))&amp;" / "&amp;IF(IFERROR(VALUE(LEFT(Anmeldung!$P38,FIND(":",Anmeldung!$P38)-1)),0)=0,"",INDEX(Anmeldung!$E$18:$E$47,IFERROR(VALUE(LEFT(Anmeldung!$P38,FIND(":",Anmeldung!$P38)-1)),0))&amp;" "&amp;INDEX(Anmeldung!$D$18:$D$47,IFERROR(VALUE(LEFT(Anmeldung!$P38,FIND(":",Anmeldung!$P38)-1)),0))))</f>
        <v/>
      </c>
      <c r="F144" s="1" t="str">
        <f>IF($A144="","",Anmeldung!$B38&amp;", "&amp;IFERROR(VALUE(LEFT(Anmeldung!$O38,FIND(":",Anmeldung!$O38)-1)),0)&amp;", "&amp;IFERROR(VALUE(LEFT(Anmeldung!$P38,FIND(":",Anmeldung!$P38)-1)),0))</f>
        <v/>
      </c>
      <c r="G144" s="1" t="str">
        <f>IF($A144="","",Anmeldung!$G38)</f>
        <v/>
      </c>
      <c r="H144" s="1" t="str">
        <f>IF($A144="","",Anmeldung!$J38)</f>
        <v/>
      </c>
      <c r="I144" s="1" t="str">
        <f>IF($A144="","",Anmeldung!$I38)</f>
        <v/>
      </c>
      <c r="J144" s="1" t="str">
        <f t="shared" si="1"/>
        <v/>
      </c>
    </row>
    <row r="145" spans="1:10" ht="14.25" customHeight="1" x14ac:dyDescent="0.3">
      <c r="A145" s="1" t="str">
        <f>IF(AND(Anmeldung!$D38&lt;&gt;"",Anmeldung!$Q38="Ja",IFERROR(VALUE(LEFT(Anmeldung!$R38,FIND(":",Anmeldung!$R38)-1)),0)&gt;0,Anmeldung!$B38=MIN(Anmeldung!$B38,IFERROR(VALUE(LEFT(Anmeldung!$R38,FIND(":",Anmeldung!$R38)-1)),0),IF(IFERROR(VALUE(LEFT(Anmeldung!$S38,FIND(":",Anmeldung!$S38)-1)),0)=0,999,IFERROR(VALUE(LEFT(Anmeldung!$S38,FIND(":",Anmeldung!$S38)-1)),0)))),"Poomsae Family","")</f>
        <v/>
      </c>
      <c r="B145" s="1" t="str">
        <f>IF($A145="","","Poomsae Family / "&amp;Anmeldung!$T38)</f>
        <v/>
      </c>
      <c r="C145" s="1" t="str">
        <f t="shared" si="0"/>
        <v/>
      </c>
      <c r="D145" s="1" t="str">
        <f>IF($A145="","","Family")</f>
        <v/>
      </c>
      <c r="E145" s="1" t="str">
        <f t="array" ref="E145">IF($A145="","",Anmeldung!$E38&amp;" "&amp;Anmeldung!$D38&amp;" / "&amp;IF(IFERROR(VALUE(LEFT(Anmeldung!$R38,FIND(":",Anmeldung!$R38)-1)),0)=0,"",INDEX(Anmeldung!$E$18:$E$47,IFERROR(VALUE(LEFT(Anmeldung!$R38,FIND(":",Anmeldung!$R38)-1)),0))&amp;" "&amp;INDEX(Anmeldung!$D$18:$D$47,IFERROR(VALUE(LEFT(Anmeldung!$R38,FIND(":",Anmeldung!$R38)-1)),0)))&amp;IF(IFERROR(VALUE(LEFT(Anmeldung!$S38,FIND(":",Anmeldung!$S38)-1)),0)&gt;0," / "&amp;IF(IFERROR(VALUE(LEFT(Anmeldung!$S38,FIND(":",Anmeldung!$S38)-1)),0)=0,"",INDEX(Anmeldung!$E$18:$E$47,IFERROR(VALUE(LEFT(Anmeldung!$S38,FIND(":",Anmeldung!$S38)-1)),0))&amp;" "&amp;INDEX(Anmeldung!$D$18:$D$47,IFERROR(VALUE(LEFT(Anmeldung!$S38,FIND(":",Anmeldung!$S38)-1)),0))),""))</f>
        <v/>
      </c>
      <c r="F145" s="1" t="str">
        <f>IF($A145="","",Anmeldung!$B38&amp;", "&amp;IFERROR(VALUE(LEFT(Anmeldung!$R38,FIND(":",Anmeldung!$R38)-1)),0)&amp;IF(IFERROR(VALUE(LEFT(Anmeldung!$S38,FIND(":",Anmeldung!$S38)-1)),0)&gt;0,", "&amp;IFERROR(VALUE(LEFT(Anmeldung!$S38,FIND(":",Anmeldung!$S38)-1)),0),""))</f>
        <v/>
      </c>
      <c r="G145" s="1" t="str">
        <f>IF($A145="","","-")</f>
        <v/>
      </c>
      <c r="H145" s="1" t="str">
        <f>IF($A145="","",Anmeldung!$T38)</f>
        <v/>
      </c>
      <c r="I145" s="1" t="str">
        <f>IF($A145="","","niedrigste Graduierung")</f>
        <v/>
      </c>
      <c r="J145" s="1" t="str">
        <f t="shared" si="1"/>
        <v/>
      </c>
    </row>
    <row r="146" spans="1:10" ht="14.25" customHeight="1" x14ac:dyDescent="0.3">
      <c r="A146" s="1" t="str">
        <f>IF(AND(Anmeldung!$D38&lt;&gt;"",Anmeldung!$U38="Ja",IFERROR(VALUE(LEFT(Anmeldung!$V38,FIND(":",Anmeldung!$V38)-1)),0)&gt;0,Anmeldung!$B38=MIN(Anmeldung!$B38,IFERROR(VALUE(LEFT(Anmeldung!$V38,FIND(":",Anmeldung!$V38)-1)),0))),"Einschrittkampf","")</f>
        <v/>
      </c>
      <c r="B146" s="1" t="str">
        <f>IF($A146="","",Anmeldung!$G38&amp;" / "&amp;Anmeldung!$J38)</f>
        <v/>
      </c>
      <c r="C146" s="1" t="str">
        <f t="shared" si="0"/>
        <v/>
      </c>
      <c r="D146" s="1" t="str">
        <f>IF($A146="","","Paar")</f>
        <v/>
      </c>
      <c r="E146" s="1" t="str">
        <f t="array" ref="E146">IF($A146="","",Anmeldung!$E38&amp;" "&amp;Anmeldung!$D38&amp;" / "&amp;IF(IFERROR(VALUE(LEFT(Anmeldung!$V38,FIND(":",Anmeldung!$V38)-1)),0)=0,"",INDEX(Anmeldung!$E$18:$E$47,IFERROR(VALUE(LEFT(Anmeldung!$V38,FIND(":",Anmeldung!$V38)-1)),0))&amp;" "&amp;INDEX(Anmeldung!$D$18:$D$47,IFERROR(VALUE(LEFT(Anmeldung!$V38,FIND(":",Anmeldung!$V38)-1)),0))))</f>
        <v/>
      </c>
      <c r="F146" s="1" t="str">
        <f>IF($A146="","",Anmeldung!$B38&amp;", "&amp;IFERROR(VALUE(LEFT(Anmeldung!$V38,FIND(":",Anmeldung!$V38)-1)),0))</f>
        <v/>
      </c>
      <c r="G146" s="1" t="str">
        <f>IF($A146="","",Anmeldung!$G38)</f>
        <v/>
      </c>
      <c r="H146" s="1" t="str">
        <f>IF($A146="","",Anmeldung!$J38)</f>
        <v/>
      </c>
      <c r="I146" s="1" t="str">
        <f>IF($A146="","",Anmeldung!$I38)</f>
        <v/>
      </c>
      <c r="J146" s="1" t="str">
        <f t="shared" si="1"/>
        <v/>
      </c>
    </row>
    <row r="147" spans="1:10" ht="14.25" customHeight="1" x14ac:dyDescent="0.3">
      <c r="A147" s="1" t="str">
        <f>IF(AND(Anmeldung!$D38&lt;&gt;"",Anmeldung!$W38="Ja"),"Bruchtest","")</f>
        <v/>
      </c>
      <c r="B147" s="1" t="str">
        <f>IF($A147="","",IF(YEAR(Anmeldung!$F38)&gt;=2009,"Bruchtest 16-17 Jahre / JG 2010-2009 / 1,0 cm",IF(YEAR(Anmeldung!$F38)&gt;=1986,"Bruchtest 18-40 Jahre / JG 2008-1986 / 1,5 cm","Bruchtest ab 41 Jahre / JG ab 1985 / 1,0 cm")))</f>
        <v/>
      </c>
      <c r="C147" s="1" t="str">
        <f t="shared" si="0"/>
        <v/>
      </c>
      <c r="D147" s="1" t="str">
        <f t="shared" ref="D147:D149" si="22">IF($A147="","","Einzel")</f>
        <v/>
      </c>
      <c r="E147" s="1" t="str">
        <f>IF($A147="","",Anmeldung!$E38&amp;" "&amp;Anmeldung!$D38)</f>
        <v/>
      </c>
      <c r="F147" s="1" t="str">
        <f>IF($A147="","",Anmeldung!$B38)</f>
        <v/>
      </c>
      <c r="G147" s="1" t="str">
        <f>IF($A147="","",Anmeldung!$G38)</f>
        <v/>
      </c>
      <c r="H147" s="1" t="str">
        <f>IF($A147="","",Anmeldung!$J38)</f>
        <v/>
      </c>
      <c r="I147" s="1" t="str">
        <f>IF($A147="","",Anmeldung!$I38)</f>
        <v/>
      </c>
      <c r="J147" s="1" t="str">
        <f t="shared" si="1"/>
        <v/>
      </c>
    </row>
    <row r="148" spans="1:10" ht="14.25" customHeight="1" x14ac:dyDescent="0.3">
      <c r="A148" s="1" t="str">
        <f>IF(AND(Anmeldung!$D38&lt;&gt;"",Anmeldung!$X38="Ja"),"Speed-Kicking","")</f>
        <v/>
      </c>
      <c r="B148" s="1" t="str">
        <f>IF($A148="","",Anmeldung!$G38)</f>
        <v/>
      </c>
      <c r="C148" s="1" t="str">
        <f t="shared" si="0"/>
        <v/>
      </c>
      <c r="D148" s="1" t="str">
        <f t="shared" si="22"/>
        <v/>
      </c>
      <c r="E148" s="1" t="str">
        <f>IF($A148="","",Anmeldung!$E38&amp;" "&amp;Anmeldung!$D38)</f>
        <v/>
      </c>
      <c r="F148" s="1" t="str">
        <f>IF($A148="","",Anmeldung!$B38)</f>
        <v/>
      </c>
      <c r="G148" s="1" t="str">
        <f>IF($A148="","",Anmeldung!$G38)</f>
        <v/>
      </c>
      <c r="H148" s="1" t="str">
        <f>IF($A148="","",Anmeldung!$J38)</f>
        <v/>
      </c>
      <c r="I148" s="1" t="str">
        <f>IF($A148="","",Anmeldung!$I38)</f>
        <v/>
      </c>
      <c r="J148" s="1" t="str">
        <f t="shared" si="1"/>
        <v/>
      </c>
    </row>
    <row r="149" spans="1:10" ht="14.25" customHeight="1" x14ac:dyDescent="0.3">
      <c r="A149" s="1" t="str">
        <f>IF(AND(Anmeldung!$D39&lt;&gt;"",Anmeldung!$K39="Ja"),"Poomsae Einzel","")</f>
        <v/>
      </c>
      <c r="B149" s="1" t="str">
        <f>IF($A149="","",Anmeldung!$G39&amp;" / "&amp;Anmeldung!$J39)</f>
        <v/>
      </c>
      <c r="C149" s="1" t="str">
        <f t="shared" si="0"/>
        <v/>
      </c>
      <c r="D149" s="1" t="str">
        <f t="shared" si="22"/>
        <v/>
      </c>
      <c r="E149" s="1" t="str">
        <f>IF($A149="","",Anmeldung!$E39&amp;" "&amp;Anmeldung!$D39)</f>
        <v/>
      </c>
      <c r="F149" s="1" t="str">
        <f>IF($A149="","",Anmeldung!$B39)</f>
        <v/>
      </c>
      <c r="G149" s="1" t="str">
        <f>IF($A149="","",Anmeldung!$G39)</f>
        <v/>
      </c>
      <c r="H149" s="1" t="str">
        <f>IF($A149="","",Anmeldung!$J39)</f>
        <v/>
      </c>
      <c r="I149" s="1" t="str">
        <f>IF($A149="","",Anmeldung!$I39)</f>
        <v/>
      </c>
      <c r="J149" s="1" t="str">
        <f t="shared" si="1"/>
        <v/>
      </c>
    </row>
    <row r="150" spans="1:10" ht="14.25" customHeight="1" x14ac:dyDescent="0.3">
      <c r="A150" s="1" t="str">
        <f>IF(AND(Anmeldung!$D39&lt;&gt;"",Anmeldung!$L39="Ja",IFERROR(VALUE(LEFT(Anmeldung!$M39,FIND(":",Anmeldung!$M39)-1)),0)&gt;0,Anmeldung!$B39=MIN(Anmeldung!$B39,IFERROR(VALUE(LEFT(Anmeldung!$M39,FIND(":",Anmeldung!$M39)-1)),0))),"Poomsae Paar","")</f>
        <v/>
      </c>
      <c r="B150" s="1" t="str">
        <f>IF($A150="","",Anmeldung!$G39&amp;" / "&amp;Anmeldung!$J39)</f>
        <v/>
      </c>
      <c r="C150" s="1" t="str">
        <f t="shared" si="0"/>
        <v/>
      </c>
      <c r="D150" s="1" t="str">
        <f>IF($A150="","","Paar")</f>
        <v/>
      </c>
      <c r="E150" s="1" t="str">
        <f t="array" ref="E150">IF($A150="","",Anmeldung!$E39&amp;" "&amp;Anmeldung!$D39&amp;" / "&amp;IF(IFERROR(VALUE(LEFT(Anmeldung!$M39,FIND(":",Anmeldung!$M39)-1)),0)=0,"",INDEX(Anmeldung!$E$18:$E$47,IFERROR(VALUE(LEFT(Anmeldung!$M39,FIND(":",Anmeldung!$M39)-1)),0))&amp;" "&amp;INDEX(Anmeldung!$D$18:$D$47,IFERROR(VALUE(LEFT(Anmeldung!$M39,FIND(":",Anmeldung!$M39)-1)),0))))</f>
        <v/>
      </c>
      <c r="F150" s="1" t="str">
        <f>IF($A150="","",Anmeldung!$B39&amp;", "&amp;IFERROR(VALUE(LEFT(Anmeldung!$M39,FIND(":",Anmeldung!$M39)-1)),0))</f>
        <v/>
      </c>
      <c r="G150" s="1" t="str">
        <f>IF($A150="","",Anmeldung!$G39)</f>
        <v/>
      </c>
      <c r="H150" s="1" t="str">
        <f>IF($A150="","",Anmeldung!$J39)</f>
        <v/>
      </c>
      <c r="I150" s="1" t="str">
        <f>IF($A150="","",Anmeldung!$I39)</f>
        <v/>
      </c>
      <c r="J150" s="1" t="str">
        <f t="shared" si="1"/>
        <v/>
      </c>
    </row>
    <row r="151" spans="1:10" ht="14.25" customHeight="1" x14ac:dyDescent="0.3">
      <c r="A151" s="1" t="str">
        <f>IF(AND(Anmeldung!$D39&lt;&gt;"",Anmeldung!$N39="Ja",IFERROR(VALUE(LEFT(Anmeldung!$O39,FIND(":",Anmeldung!$O39)-1)),0)&gt;0,IFERROR(VALUE(LEFT(Anmeldung!$P39,FIND(":",Anmeldung!$P39)-1)),0)&gt;0,Anmeldung!$B39=MIN(Anmeldung!$B39,IFERROR(VALUE(LEFT(Anmeldung!$O39,FIND(":",Anmeldung!$O39)-1)),0),IFERROR(VALUE(LEFT(Anmeldung!$P39,FIND(":",Anmeldung!$P39)-1)),0))),"Poomsae Team","")</f>
        <v/>
      </c>
      <c r="B151" s="1" t="str">
        <f>IF($A151="","",Anmeldung!$G39&amp;" / "&amp;Anmeldung!$J39)</f>
        <v/>
      </c>
      <c r="C151" s="1" t="str">
        <f t="shared" si="0"/>
        <v/>
      </c>
      <c r="D151" s="1" t="str">
        <f>IF($A151="","","Team")</f>
        <v/>
      </c>
      <c r="E151" s="1" t="str">
        <f t="array" ref="E151">IF($A151="","",Anmeldung!$E39&amp;" "&amp;Anmeldung!$D39&amp;" / "&amp;IF(IFERROR(VALUE(LEFT(Anmeldung!$O39,FIND(":",Anmeldung!$O39)-1)),0)=0,"",INDEX(Anmeldung!$E$18:$E$47,IFERROR(VALUE(LEFT(Anmeldung!$O39,FIND(":",Anmeldung!$O39)-1)),0))&amp;" "&amp;INDEX(Anmeldung!$D$18:$D$47,IFERROR(VALUE(LEFT(Anmeldung!$O39,FIND(":",Anmeldung!$O39)-1)),0)))&amp;" / "&amp;IF(IFERROR(VALUE(LEFT(Anmeldung!$P39,FIND(":",Anmeldung!$P39)-1)),0)=0,"",INDEX(Anmeldung!$E$18:$E$47,IFERROR(VALUE(LEFT(Anmeldung!$P39,FIND(":",Anmeldung!$P39)-1)),0))&amp;" "&amp;INDEX(Anmeldung!$D$18:$D$47,IFERROR(VALUE(LEFT(Anmeldung!$P39,FIND(":",Anmeldung!$P39)-1)),0))))</f>
        <v/>
      </c>
      <c r="F151" s="1" t="str">
        <f>IF($A151="","",Anmeldung!$B39&amp;", "&amp;IFERROR(VALUE(LEFT(Anmeldung!$O39,FIND(":",Anmeldung!$O39)-1)),0)&amp;", "&amp;IFERROR(VALUE(LEFT(Anmeldung!$P39,FIND(":",Anmeldung!$P39)-1)),0))</f>
        <v/>
      </c>
      <c r="G151" s="1" t="str">
        <f>IF($A151="","",Anmeldung!$G39)</f>
        <v/>
      </c>
      <c r="H151" s="1" t="str">
        <f>IF($A151="","",Anmeldung!$J39)</f>
        <v/>
      </c>
      <c r="I151" s="1" t="str">
        <f>IF($A151="","",Anmeldung!$I39)</f>
        <v/>
      </c>
      <c r="J151" s="1" t="str">
        <f t="shared" si="1"/>
        <v/>
      </c>
    </row>
    <row r="152" spans="1:10" ht="14.25" customHeight="1" x14ac:dyDescent="0.3">
      <c r="A152" s="1" t="str">
        <f>IF(AND(Anmeldung!$D39&lt;&gt;"",Anmeldung!$Q39="Ja",IFERROR(VALUE(LEFT(Anmeldung!$R39,FIND(":",Anmeldung!$R39)-1)),0)&gt;0,Anmeldung!$B39=MIN(Anmeldung!$B39,IFERROR(VALUE(LEFT(Anmeldung!$R39,FIND(":",Anmeldung!$R39)-1)),0),IF(IFERROR(VALUE(LEFT(Anmeldung!$S39,FIND(":",Anmeldung!$S39)-1)),0)=0,999,IFERROR(VALUE(LEFT(Anmeldung!$S39,FIND(":",Anmeldung!$S39)-1)),0)))),"Poomsae Family","")</f>
        <v/>
      </c>
      <c r="B152" s="1" t="str">
        <f>IF($A152="","","Poomsae Family / "&amp;Anmeldung!$T39)</f>
        <v/>
      </c>
      <c r="C152" s="1" t="str">
        <f t="shared" si="0"/>
        <v/>
      </c>
      <c r="D152" s="1" t="str">
        <f>IF($A152="","","Family")</f>
        <v/>
      </c>
      <c r="E152" s="1" t="str">
        <f t="array" ref="E152">IF($A152="","",Anmeldung!$E39&amp;" "&amp;Anmeldung!$D39&amp;" / "&amp;IF(IFERROR(VALUE(LEFT(Anmeldung!$R39,FIND(":",Anmeldung!$R39)-1)),0)=0,"",INDEX(Anmeldung!$E$18:$E$47,IFERROR(VALUE(LEFT(Anmeldung!$R39,FIND(":",Anmeldung!$R39)-1)),0))&amp;" "&amp;INDEX(Anmeldung!$D$18:$D$47,IFERROR(VALUE(LEFT(Anmeldung!$R39,FIND(":",Anmeldung!$R39)-1)),0)))&amp;IF(IFERROR(VALUE(LEFT(Anmeldung!$S39,FIND(":",Anmeldung!$S39)-1)),0)&gt;0," / "&amp;IF(IFERROR(VALUE(LEFT(Anmeldung!$S39,FIND(":",Anmeldung!$S39)-1)),0)=0,"",INDEX(Anmeldung!$E$18:$E$47,IFERROR(VALUE(LEFT(Anmeldung!$S39,FIND(":",Anmeldung!$S39)-1)),0))&amp;" "&amp;INDEX(Anmeldung!$D$18:$D$47,IFERROR(VALUE(LEFT(Anmeldung!$S39,FIND(":",Anmeldung!$S39)-1)),0))),""))</f>
        <v/>
      </c>
      <c r="F152" s="1" t="str">
        <f>IF($A152="","",Anmeldung!$B39&amp;", "&amp;IFERROR(VALUE(LEFT(Anmeldung!$R39,FIND(":",Anmeldung!$R39)-1)),0)&amp;IF(IFERROR(VALUE(LEFT(Anmeldung!$S39,FIND(":",Anmeldung!$S39)-1)),0)&gt;0,", "&amp;IFERROR(VALUE(LEFT(Anmeldung!$S39,FIND(":",Anmeldung!$S39)-1)),0),""))</f>
        <v/>
      </c>
      <c r="G152" s="1" t="str">
        <f>IF($A152="","","-")</f>
        <v/>
      </c>
      <c r="H152" s="1" t="str">
        <f>IF($A152="","",Anmeldung!$T39)</f>
        <v/>
      </c>
      <c r="I152" s="1" t="str">
        <f>IF($A152="","","niedrigste Graduierung")</f>
        <v/>
      </c>
      <c r="J152" s="1" t="str">
        <f t="shared" si="1"/>
        <v/>
      </c>
    </row>
    <row r="153" spans="1:10" ht="14.25" customHeight="1" x14ac:dyDescent="0.3">
      <c r="A153" s="1" t="str">
        <f>IF(AND(Anmeldung!$D39&lt;&gt;"",Anmeldung!$U39="Ja",IFERROR(VALUE(LEFT(Anmeldung!$V39,FIND(":",Anmeldung!$V39)-1)),0)&gt;0,Anmeldung!$B39=MIN(Anmeldung!$B39,IFERROR(VALUE(LEFT(Anmeldung!$V39,FIND(":",Anmeldung!$V39)-1)),0))),"Einschrittkampf","")</f>
        <v/>
      </c>
      <c r="B153" s="1" t="str">
        <f>IF($A153="","",Anmeldung!$G39&amp;" / "&amp;Anmeldung!$J39)</f>
        <v/>
      </c>
      <c r="C153" s="1" t="str">
        <f t="shared" si="0"/>
        <v/>
      </c>
      <c r="D153" s="1" t="str">
        <f>IF($A153="","","Paar")</f>
        <v/>
      </c>
      <c r="E153" s="1" t="str">
        <f t="array" ref="E153">IF($A153="","",Anmeldung!$E39&amp;" "&amp;Anmeldung!$D39&amp;" / "&amp;IF(IFERROR(VALUE(LEFT(Anmeldung!$V39,FIND(":",Anmeldung!$V39)-1)),0)=0,"",INDEX(Anmeldung!$E$18:$E$47,IFERROR(VALUE(LEFT(Anmeldung!$V39,FIND(":",Anmeldung!$V39)-1)),0))&amp;" "&amp;INDEX(Anmeldung!$D$18:$D$47,IFERROR(VALUE(LEFT(Anmeldung!$V39,FIND(":",Anmeldung!$V39)-1)),0))))</f>
        <v/>
      </c>
      <c r="F153" s="1" t="str">
        <f>IF($A153="","",Anmeldung!$B39&amp;", "&amp;IFERROR(VALUE(LEFT(Anmeldung!$V39,FIND(":",Anmeldung!$V39)-1)),0))</f>
        <v/>
      </c>
      <c r="G153" s="1" t="str">
        <f>IF($A153="","",Anmeldung!$G39)</f>
        <v/>
      </c>
      <c r="H153" s="1" t="str">
        <f>IF($A153="","",Anmeldung!$J39)</f>
        <v/>
      </c>
      <c r="I153" s="1" t="str">
        <f>IF($A153="","",Anmeldung!$I39)</f>
        <v/>
      </c>
      <c r="J153" s="1" t="str">
        <f t="shared" si="1"/>
        <v/>
      </c>
    </row>
    <row r="154" spans="1:10" ht="14.25" customHeight="1" x14ac:dyDescent="0.3">
      <c r="A154" s="1" t="str">
        <f>IF(AND(Anmeldung!$D39&lt;&gt;"",Anmeldung!$W39="Ja"),"Bruchtest","")</f>
        <v/>
      </c>
      <c r="B154" s="1" t="str">
        <f>IF($A154="","",IF(YEAR(Anmeldung!$F39)&gt;=2009,"Bruchtest 16-17 Jahre / JG 2010-2009 / 1,0 cm",IF(YEAR(Anmeldung!$F39)&gt;=1986,"Bruchtest 18-40 Jahre / JG 2008-1986 / 1,5 cm","Bruchtest ab 41 Jahre / JG ab 1985 / 1,0 cm")))</f>
        <v/>
      </c>
      <c r="C154" s="1" t="str">
        <f t="shared" si="0"/>
        <v/>
      </c>
      <c r="D154" s="1" t="str">
        <f t="shared" ref="D154:D156" si="23">IF($A154="","","Einzel")</f>
        <v/>
      </c>
      <c r="E154" s="1" t="str">
        <f>IF($A154="","",Anmeldung!$E39&amp;" "&amp;Anmeldung!$D39)</f>
        <v/>
      </c>
      <c r="F154" s="1" t="str">
        <f>IF($A154="","",Anmeldung!$B39)</f>
        <v/>
      </c>
      <c r="G154" s="1" t="str">
        <f>IF($A154="","",Anmeldung!$G39)</f>
        <v/>
      </c>
      <c r="H154" s="1" t="str">
        <f>IF($A154="","",Anmeldung!$J39)</f>
        <v/>
      </c>
      <c r="I154" s="1" t="str">
        <f>IF($A154="","",Anmeldung!$I39)</f>
        <v/>
      </c>
      <c r="J154" s="1" t="str">
        <f t="shared" si="1"/>
        <v/>
      </c>
    </row>
    <row r="155" spans="1:10" ht="14.25" customHeight="1" x14ac:dyDescent="0.3">
      <c r="A155" s="1" t="str">
        <f>IF(AND(Anmeldung!$D39&lt;&gt;"",Anmeldung!$X39="Ja"),"Speed-Kicking","")</f>
        <v/>
      </c>
      <c r="B155" s="1" t="str">
        <f>IF($A155="","",Anmeldung!$G39)</f>
        <v/>
      </c>
      <c r="C155" s="1" t="str">
        <f t="shared" si="0"/>
        <v/>
      </c>
      <c r="D155" s="1" t="str">
        <f t="shared" si="23"/>
        <v/>
      </c>
      <c r="E155" s="1" t="str">
        <f>IF($A155="","",Anmeldung!$E39&amp;" "&amp;Anmeldung!$D39)</f>
        <v/>
      </c>
      <c r="F155" s="1" t="str">
        <f>IF($A155="","",Anmeldung!$B39)</f>
        <v/>
      </c>
      <c r="G155" s="1" t="str">
        <f>IF($A155="","",Anmeldung!$G39)</f>
        <v/>
      </c>
      <c r="H155" s="1" t="str">
        <f>IF($A155="","",Anmeldung!$J39)</f>
        <v/>
      </c>
      <c r="I155" s="1" t="str">
        <f>IF($A155="","",Anmeldung!$I39)</f>
        <v/>
      </c>
      <c r="J155" s="1" t="str">
        <f t="shared" si="1"/>
        <v/>
      </c>
    </row>
    <row r="156" spans="1:10" ht="14.25" customHeight="1" x14ac:dyDescent="0.3">
      <c r="A156" s="1" t="str">
        <f>IF(AND(Anmeldung!$D40&lt;&gt;"",Anmeldung!$K40="Ja"),"Poomsae Einzel","")</f>
        <v/>
      </c>
      <c r="B156" s="1" t="str">
        <f>IF($A156="","",Anmeldung!$G40&amp;" / "&amp;Anmeldung!$J40)</f>
        <v/>
      </c>
      <c r="C156" s="1" t="str">
        <f t="shared" si="0"/>
        <v/>
      </c>
      <c r="D156" s="1" t="str">
        <f t="shared" si="23"/>
        <v/>
      </c>
      <c r="E156" s="1" t="str">
        <f>IF($A156="","",Anmeldung!$E40&amp;" "&amp;Anmeldung!$D40)</f>
        <v/>
      </c>
      <c r="F156" s="1" t="str">
        <f>IF($A156="","",Anmeldung!$B40)</f>
        <v/>
      </c>
      <c r="G156" s="1" t="str">
        <f>IF($A156="","",Anmeldung!$G40)</f>
        <v/>
      </c>
      <c r="H156" s="1" t="str">
        <f>IF($A156="","",Anmeldung!$J40)</f>
        <v/>
      </c>
      <c r="I156" s="1" t="str">
        <f>IF($A156="","",Anmeldung!$I40)</f>
        <v/>
      </c>
      <c r="J156" s="1" t="str">
        <f t="shared" si="1"/>
        <v/>
      </c>
    </row>
    <row r="157" spans="1:10" ht="14.25" customHeight="1" x14ac:dyDescent="0.3">
      <c r="A157" s="1" t="str">
        <f>IF(AND(Anmeldung!$D40&lt;&gt;"",Anmeldung!$L40="Ja",IFERROR(VALUE(LEFT(Anmeldung!$M40,FIND(":",Anmeldung!$M40)-1)),0)&gt;0,Anmeldung!$B40=MIN(Anmeldung!$B40,IFERROR(VALUE(LEFT(Anmeldung!$M40,FIND(":",Anmeldung!$M40)-1)),0))),"Poomsae Paar","")</f>
        <v/>
      </c>
      <c r="B157" s="1" t="str">
        <f>IF($A157="","",Anmeldung!$G40&amp;" / "&amp;Anmeldung!$J40)</f>
        <v/>
      </c>
      <c r="C157" s="1" t="str">
        <f t="shared" si="0"/>
        <v/>
      </c>
      <c r="D157" s="1" t="str">
        <f>IF($A157="","","Paar")</f>
        <v/>
      </c>
      <c r="E157" s="1" t="str">
        <f t="array" ref="E157">IF($A157="","",Anmeldung!$E40&amp;" "&amp;Anmeldung!$D40&amp;" / "&amp;IF(IFERROR(VALUE(LEFT(Anmeldung!$M40,FIND(":",Anmeldung!$M40)-1)),0)=0,"",INDEX(Anmeldung!$E$18:$E$47,IFERROR(VALUE(LEFT(Anmeldung!$M40,FIND(":",Anmeldung!$M40)-1)),0))&amp;" "&amp;INDEX(Anmeldung!$D$18:$D$47,IFERROR(VALUE(LEFT(Anmeldung!$M40,FIND(":",Anmeldung!$M40)-1)),0))))</f>
        <v/>
      </c>
      <c r="F157" s="1" t="str">
        <f>IF($A157="","",Anmeldung!$B40&amp;", "&amp;IFERROR(VALUE(LEFT(Anmeldung!$M40,FIND(":",Anmeldung!$M40)-1)),0))</f>
        <v/>
      </c>
      <c r="G157" s="1" t="str">
        <f>IF($A157="","",Anmeldung!$G40)</f>
        <v/>
      </c>
      <c r="H157" s="1" t="str">
        <f>IF($A157="","",Anmeldung!$J40)</f>
        <v/>
      </c>
      <c r="I157" s="1" t="str">
        <f>IF($A157="","",Anmeldung!$I40)</f>
        <v/>
      </c>
      <c r="J157" s="1" t="str">
        <f t="shared" si="1"/>
        <v/>
      </c>
    </row>
    <row r="158" spans="1:10" ht="14.25" customHeight="1" x14ac:dyDescent="0.3">
      <c r="A158" s="1" t="str">
        <f>IF(AND(Anmeldung!$D40&lt;&gt;"",Anmeldung!$N40="Ja",IFERROR(VALUE(LEFT(Anmeldung!$O40,FIND(":",Anmeldung!$O40)-1)),0)&gt;0,IFERROR(VALUE(LEFT(Anmeldung!$P40,FIND(":",Anmeldung!$P40)-1)),0)&gt;0,Anmeldung!$B40=MIN(Anmeldung!$B40,IFERROR(VALUE(LEFT(Anmeldung!$O40,FIND(":",Anmeldung!$O40)-1)),0),IFERROR(VALUE(LEFT(Anmeldung!$P40,FIND(":",Anmeldung!$P40)-1)),0))),"Poomsae Team","")</f>
        <v/>
      </c>
      <c r="B158" s="1" t="str">
        <f>IF($A158="","",Anmeldung!$G40&amp;" / "&amp;Anmeldung!$J40)</f>
        <v/>
      </c>
      <c r="C158" s="1" t="str">
        <f t="shared" si="0"/>
        <v/>
      </c>
      <c r="D158" s="1" t="str">
        <f>IF($A158="","","Team")</f>
        <v/>
      </c>
      <c r="E158" s="1" t="str">
        <f t="array" ref="E158">IF($A158="","",Anmeldung!$E40&amp;" "&amp;Anmeldung!$D40&amp;" / "&amp;IF(IFERROR(VALUE(LEFT(Anmeldung!$O40,FIND(":",Anmeldung!$O40)-1)),0)=0,"",INDEX(Anmeldung!$E$18:$E$47,IFERROR(VALUE(LEFT(Anmeldung!$O40,FIND(":",Anmeldung!$O40)-1)),0))&amp;" "&amp;INDEX(Anmeldung!$D$18:$D$47,IFERROR(VALUE(LEFT(Anmeldung!$O40,FIND(":",Anmeldung!$O40)-1)),0)))&amp;" / "&amp;IF(IFERROR(VALUE(LEFT(Anmeldung!$P40,FIND(":",Anmeldung!$P40)-1)),0)=0,"",INDEX(Anmeldung!$E$18:$E$47,IFERROR(VALUE(LEFT(Anmeldung!$P40,FIND(":",Anmeldung!$P40)-1)),0))&amp;" "&amp;INDEX(Anmeldung!$D$18:$D$47,IFERROR(VALUE(LEFT(Anmeldung!$P40,FIND(":",Anmeldung!$P40)-1)),0))))</f>
        <v/>
      </c>
      <c r="F158" s="1" t="str">
        <f>IF($A158="","",Anmeldung!$B40&amp;", "&amp;IFERROR(VALUE(LEFT(Anmeldung!$O40,FIND(":",Anmeldung!$O40)-1)),0)&amp;", "&amp;IFERROR(VALUE(LEFT(Anmeldung!$P40,FIND(":",Anmeldung!$P40)-1)),0))</f>
        <v/>
      </c>
      <c r="G158" s="1" t="str">
        <f>IF($A158="","",Anmeldung!$G40)</f>
        <v/>
      </c>
      <c r="H158" s="1" t="str">
        <f>IF($A158="","",Anmeldung!$J40)</f>
        <v/>
      </c>
      <c r="I158" s="1" t="str">
        <f>IF($A158="","",Anmeldung!$I40)</f>
        <v/>
      </c>
      <c r="J158" s="1" t="str">
        <f t="shared" si="1"/>
        <v/>
      </c>
    </row>
    <row r="159" spans="1:10" ht="14.25" customHeight="1" x14ac:dyDescent="0.3">
      <c r="A159" s="1" t="str">
        <f>IF(AND(Anmeldung!$D40&lt;&gt;"",Anmeldung!$Q40="Ja",IFERROR(VALUE(LEFT(Anmeldung!$R40,FIND(":",Anmeldung!$R40)-1)),0)&gt;0,Anmeldung!$B40=MIN(Anmeldung!$B40,IFERROR(VALUE(LEFT(Anmeldung!$R40,FIND(":",Anmeldung!$R40)-1)),0),IF(IFERROR(VALUE(LEFT(Anmeldung!$S40,FIND(":",Anmeldung!$S40)-1)),0)=0,999,IFERROR(VALUE(LEFT(Anmeldung!$S40,FIND(":",Anmeldung!$S40)-1)),0)))),"Poomsae Family","")</f>
        <v/>
      </c>
      <c r="B159" s="1" t="str">
        <f>IF($A159="","","Poomsae Family / "&amp;Anmeldung!$T40)</f>
        <v/>
      </c>
      <c r="C159" s="1" t="str">
        <f t="shared" si="0"/>
        <v/>
      </c>
      <c r="D159" s="1" t="str">
        <f>IF($A159="","","Family")</f>
        <v/>
      </c>
      <c r="E159" s="1" t="str">
        <f t="array" ref="E159">IF($A159="","",Anmeldung!$E40&amp;" "&amp;Anmeldung!$D40&amp;" / "&amp;IF(IFERROR(VALUE(LEFT(Anmeldung!$R40,FIND(":",Anmeldung!$R40)-1)),0)=0,"",INDEX(Anmeldung!$E$18:$E$47,IFERROR(VALUE(LEFT(Anmeldung!$R40,FIND(":",Anmeldung!$R40)-1)),0))&amp;" "&amp;INDEX(Anmeldung!$D$18:$D$47,IFERROR(VALUE(LEFT(Anmeldung!$R40,FIND(":",Anmeldung!$R40)-1)),0)))&amp;IF(IFERROR(VALUE(LEFT(Anmeldung!$S40,FIND(":",Anmeldung!$S40)-1)),0)&gt;0," / "&amp;IF(IFERROR(VALUE(LEFT(Anmeldung!$S40,FIND(":",Anmeldung!$S40)-1)),0)=0,"",INDEX(Anmeldung!$E$18:$E$47,IFERROR(VALUE(LEFT(Anmeldung!$S40,FIND(":",Anmeldung!$S40)-1)),0))&amp;" "&amp;INDEX(Anmeldung!$D$18:$D$47,IFERROR(VALUE(LEFT(Anmeldung!$S40,FIND(":",Anmeldung!$S40)-1)),0))),""))</f>
        <v/>
      </c>
      <c r="F159" s="1" t="str">
        <f>IF($A159="","",Anmeldung!$B40&amp;", "&amp;IFERROR(VALUE(LEFT(Anmeldung!$R40,FIND(":",Anmeldung!$R40)-1)),0)&amp;IF(IFERROR(VALUE(LEFT(Anmeldung!$S40,FIND(":",Anmeldung!$S40)-1)),0)&gt;0,", "&amp;IFERROR(VALUE(LEFT(Anmeldung!$S40,FIND(":",Anmeldung!$S40)-1)),0),""))</f>
        <v/>
      </c>
      <c r="G159" s="1" t="str">
        <f>IF($A159="","","-")</f>
        <v/>
      </c>
      <c r="H159" s="1" t="str">
        <f>IF($A159="","",Anmeldung!$T40)</f>
        <v/>
      </c>
      <c r="I159" s="1" t="str">
        <f>IF($A159="","","niedrigste Graduierung")</f>
        <v/>
      </c>
      <c r="J159" s="1" t="str">
        <f t="shared" si="1"/>
        <v/>
      </c>
    </row>
    <row r="160" spans="1:10" ht="14.25" customHeight="1" x14ac:dyDescent="0.3">
      <c r="A160" s="1" t="str">
        <f>IF(AND(Anmeldung!$D40&lt;&gt;"",Anmeldung!$U40="Ja",IFERROR(VALUE(LEFT(Anmeldung!$V40,FIND(":",Anmeldung!$V40)-1)),0)&gt;0,Anmeldung!$B40=MIN(Anmeldung!$B40,IFERROR(VALUE(LEFT(Anmeldung!$V40,FIND(":",Anmeldung!$V40)-1)),0))),"Einschrittkampf","")</f>
        <v/>
      </c>
      <c r="B160" s="1" t="str">
        <f>IF($A160="","",Anmeldung!$G40&amp;" / "&amp;Anmeldung!$J40)</f>
        <v/>
      </c>
      <c r="C160" s="1" t="str">
        <f t="shared" si="0"/>
        <v/>
      </c>
      <c r="D160" s="1" t="str">
        <f>IF($A160="","","Paar")</f>
        <v/>
      </c>
      <c r="E160" s="1" t="str">
        <f t="array" ref="E160">IF($A160="","",Anmeldung!$E40&amp;" "&amp;Anmeldung!$D40&amp;" / "&amp;IF(IFERROR(VALUE(LEFT(Anmeldung!$V40,FIND(":",Anmeldung!$V40)-1)),0)=0,"",INDEX(Anmeldung!$E$18:$E$47,IFERROR(VALUE(LEFT(Anmeldung!$V40,FIND(":",Anmeldung!$V40)-1)),0))&amp;" "&amp;INDEX(Anmeldung!$D$18:$D$47,IFERROR(VALUE(LEFT(Anmeldung!$V40,FIND(":",Anmeldung!$V40)-1)),0))))</f>
        <v/>
      </c>
      <c r="F160" s="1" t="str">
        <f>IF($A160="","",Anmeldung!$B40&amp;", "&amp;IFERROR(VALUE(LEFT(Anmeldung!$V40,FIND(":",Anmeldung!$V40)-1)),0))</f>
        <v/>
      </c>
      <c r="G160" s="1" t="str">
        <f>IF($A160="","",Anmeldung!$G40)</f>
        <v/>
      </c>
      <c r="H160" s="1" t="str">
        <f>IF($A160="","",Anmeldung!$J40)</f>
        <v/>
      </c>
      <c r="I160" s="1" t="str">
        <f>IF($A160="","",Anmeldung!$I40)</f>
        <v/>
      </c>
      <c r="J160" s="1" t="str">
        <f t="shared" si="1"/>
        <v/>
      </c>
    </row>
    <row r="161" spans="1:10" ht="14.25" customHeight="1" x14ac:dyDescent="0.3">
      <c r="A161" s="1" t="str">
        <f>IF(AND(Anmeldung!$D40&lt;&gt;"",Anmeldung!$W40="Ja"),"Bruchtest","")</f>
        <v/>
      </c>
      <c r="B161" s="1" t="str">
        <f>IF($A161="","",IF(YEAR(Anmeldung!$F40)&gt;=2009,"Bruchtest 16-17 Jahre / JG 2010-2009 / 1,0 cm",IF(YEAR(Anmeldung!$F40)&gt;=1986,"Bruchtest 18-40 Jahre / JG 2008-1986 / 1,5 cm","Bruchtest ab 41 Jahre / JG ab 1985 / 1,0 cm")))</f>
        <v/>
      </c>
      <c r="C161" s="1" t="str">
        <f t="shared" si="0"/>
        <v/>
      </c>
      <c r="D161" s="1" t="str">
        <f t="shared" ref="D161:D163" si="24">IF($A161="","","Einzel")</f>
        <v/>
      </c>
      <c r="E161" s="1" t="str">
        <f>IF($A161="","",Anmeldung!$E40&amp;" "&amp;Anmeldung!$D40)</f>
        <v/>
      </c>
      <c r="F161" s="1" t="str">
        <f>IF($A161="","",Anmeldung!$B40)</f>
        <v/>
      </c>
      <c r="G161" s="1" t="str">
        <f>IF($A161="","",Anmeldung!$G40)</f>
        <v/>
      </c>
      <c r="H161" s="1" t="str">
        <f>IF($A161="","",Anmeldung!$J40)</f>
        <v/>
      </c>
      <c r="I161" s="1" t="str">
        <f>IF($A161="","",Anmeldung!$I40)</f>
        <v/>
      </c>
      <c r="J161" s="1" t="str">
        <f t="shared" si="1"/>
        <v/>
      </c>
    </row>
    <row r="162" spans="1:10" ht="14.25" customHeight="1" x14ac:dyDescent="0.3">
      <c r="A162" s="1" t="str">
        <f>IF(AND(Anmeldung!$D40&lt;&gt;"",Anmeldung!$X40="Ja"),"Speed-Kicking","")</f>
        <v/>
      </c>
      <c r="B162" s="1" t="str">
        <f>IF($A162="","",Anmeldung!$G40)</f>
        <v/>
      </c>
      <c r="C162" s="1" t="str">
        <f t="shared" si="0"/>
        <v/>
      </c>
      <c r="D162" s="1" t="str">
        <f t="shared" si="24"/>
        <v/>
      </c>
      <c r="E162" s="1" t="str">
        <f>IF($A162="","",Anmeldung!$E40&amp;" "&amp;Anmeldung!$D40)</f>
        <v/>
      </c>
      <c r="F162" s="1" t="str">
        <f>IF($A162="","",Anmeldung!$B40)</f>
        <v/>
      </c>
      <c r="G162" s="1" t="str">
        <f>IF($A162="","",Anmeldung!$G40)</f>
        <v/>
      </c>
      <c r="H162" s="1" t="str">
        <f>IF($A162="","",Anmeldung!$J40)</f>
        <v/>
      </c>
      <c r="I162" s="1" t="str">
        <f>IF($A162="","",Anmeldung!$I40)</f>
        <v/>
      </c>
      <c r="J162" s="1" t="str">
        <f t="shared" si="1"/>
        <v/>
      </c>
    </row>
    <row r="163" spans="1:10" ht="14.25" customHeight="1" x14ac:dyDescent="0.3">
      <c r="A163" s="1" t="str">
        <f>IF(AND(Anmeldung!$D41&lt;&gt;"",Anmeldung!$K41="Ja"),"Poomsae Einzel","")</f>
        <v/>
      </c>
      <c r="B163" s="1" t="str">
        <f>IF($A163="","",Anmeldung!$G41&amp;" / "&amp;Anmeldung!$J41)</f>
        <v/>
      </c>
      <c r="C163" s="1" t="str">
        <f t="shared" si="0"/>
        <v/>
      </c>
      <c r="D163" s="1" t="str">
        <f t="shared" si="24"/>
        <v/>
      </c>
      <c r="E163" s="1" t="str">
        <f>IF($A163="","",Anmeldung!$E41&amp;" "&amp;Anmeldung!$D41)</f>
        <v/>
      </c>
      <c r="F163" s="1" t="str">
        <f>IF($A163="","",Anmeldung!$B41)</f>
        <v/>
      </c>
      <c r="G163" s="1" t="str">
        <f>IF($A163="","",Anmeldung!$G41)</f>
        <v/>
      </c>
      <c r="H163" s="1" t="str">
        <f>IF($A163="","",Anmeldung!$J41)</f>
        <v/>
      </c>
      <c r="I163" s="1" t="str">
        <f>IF($A163="","",Anmeldung!$I41)</f>
        <v/>
      </c>
      <c r="J163" s="1" t="str">
        <f t="shared" si="1"/>
        <v/>
      </c>
    </row>
    <row r="164" spans="1:10" ht="14.25" customHeight="1" x14ac:dyDescent="0.3">
      <c r="A164" s="1" t="str">
        <f>IF(AND(Anmeldung!$D41&lt;&gt;"",Anmeldung!$L41="Ja",IFERROR(VALUE(LEFT(Anmeldung!$M41,FIND(":",Anmeldung!$M41)-1)),0)&gt;0,Anmeldung!$B41=MIN(Anmeldung!$B41,IFERROR(VALUE(LEFT(Anmeldung!$M41,FIND(":",Anmeldung!$M41)-1)),0))),"Poomsae Paar","")</f>
        <v/>
      </c>
      <c r="B164" s="1" t="str">
        <f>IF($A164="","",Anmeldung!$G41&amp;" / "&amp;Anmeldung!$J41)</f>
        <v/>
      </c>
      <c r="C164" s="1" t="str">
        <f t="shared" si="0"/>
        <v/>
      </c>
      <c r="D164" s="1" t="str">
        <f>IF($A164="","","Paar")</f>
        <v/>
      </c>
      <c r="E164" s="1" t="str">
        <f t="array" ref="E164">IF($A164="","",Anmeldung!$E41&amp;" "&amp;Anmeldung!$D41&amp;" / "&amp;IF(IFERROR(VALUE(LEFT(Anmeldung!$M41,FIND(":",Anmeldung!$M41)-1)),0)=0,"",INDEX(Anmeldung!$E$18:$E$47,IFERROR(VALUE(LEFT(Anmeldung!$M41,FIND(":",Anmeldung!$M41)-1)),0))&amp;" "&amp;INDEX(Anmeldung!$D$18:$D$47,IFERROR(VALUE(LEFT(Anmeldung!$M41,FIND(":",Anmeldung!$M41)-1)),0))))</f>
        <v/>
      </c>
      <c r="F164" s="1" t="str">
        <f>IF($A164="","",Anmeldung!$B41&amp;", "&amp;IFERROR(VALUE(LEFT(Anmeldung!$M41,FIND(":",Anmeldung!$M41)-1)),0))</f>
        <v/>
      </c>
      <c r="G164" s="1" t="str">
        <f>IF($A164="","",Anmeldung!$G41)</f>
        <v/>
      </c>
      <c r="H164" s="1" t="str">
        <f>IF($A164="","",Anmeldung!$J41)</f>
        <v/>
      </c>
      <c r="I164" s="1" t="str">
        <f>IF($A164="","",Anmeldung!$I41)</f>
        <v/>
      </c>
      <c r="J164" s="1" t="str">
        <f t="shared" si="1"/>
        <v/>
      </c>
    </row>
    <row r="165" spans="1:10" ht="14.25" customHeight="1" x14ac:dyDescent="0.3">
      <c r="A165" s="1" t="str">
        <f>IF(AND(Anmeldung!$D41&lt;&gt;"",Anmeldung!$N41="Ja",IFERROR(VALUE(LEFT(Anmeldung!$O41,FIND(":",Anmeldung!$O41)-1)),0)&gt;0,IFERROR(VALUE(LEFT(Anmeldung!$P41,FIND(":",Anmeldung!$P41)-1)),0)&gt;0,Anmeldung!$B41=MIN(Anmeldung!$B41,IFERROR(VALUE(LEFT(Anmeldung!$O41,FIND(":",Anmeldung!$O41)-1)),0),IFERROR(VALUE(LEFT(Anmeldung!$P41,FIND(":",Anmeldung!$P41)-1)),0))),"Poomsae Team","")</f>
        <v/>
      </c>
      <c r="B165" s="1" t="str">
        <f>IF($A165="","",Anmeldung!$G41&amp;" / "&amp;Anmeldung!$J41)</f>
        <v/>
      </c>
      <c r="C165" s="1" t="str">
        <f t="shared" si="0"/>
        <v/>
      </c>
      <c r="D165" s="1" t="str">
        <f>IF($A165="","","Team")</f>
        <v/>
      </c>
      <c r="E165" s="1" t="str">
        <f t="array" ref="E165">IF($A165="","",Anmeldung!$E41&amp;" "&amp;Anmeldung!$D41&amp;" / "&amp;IF(IFERROR(VALUE(LEFT(Anmeldung!$O41,FIND(":",Anmeldung!$O41)-1)),0)=0,"",INDEX(Anmeldung!$E$18:$E$47,IFERROR(VALUE(LEFT(Anmeldung!$O41,FIND(":",Anmeldung!$O41)-1)),0))&amp;" "&amp;INDEX(Anmeldung!$D$18:$D$47,IFERROR(VALUE(LEFT(Anmeldung!$O41,FIND(":",Anmeldung!$O41)-1)),0)))&amp;" / "&amp;IF(IFERROR(VALUE(LEFT(Anmeldung!$P41,FIND(":",Anmeldung!$P41)-1)),0)=0,"",INDEX(Anmeldung!$E$18:$E$47,IFERROR(VALUE(LEFT(Anmeldung!$P41,FIND(":",Anmeldung!$P41)-1)),0))&amp;" "&amp;INDEX(Anmeldung!$D$18:$D$47,IFERROR(VALUE(LEFT(Anmeldung!$P41,FIND(":",Anmeldung!$P41)-1)),0))))</f>
        <v/>
      </c>
      <c r="F165" s="1" t="str">
        <f>IF($A165="","",Anmeldung!$B41&amp;", "&amp;IFERROR(VALUE(LEFT(Anmeldung!$O41,FIND(":",Anmeldung!$O41)-1)),0)&amp;", "&amp;IFERROR(VALUE(LEFT(Anmeldung!$P41,FIND(":",Anmeldung!$P41)-1)),0))</f>
        <v/>
      </c>
      <c r="G165" s="1" t="str">
        <f>IF($A165="","",Anmeldung!$G41)</f>
        <v/>
      </c>
      <c r="H165" s="1" t="str">
        <f>IF($A165="","",Anmeldung!$J41)</f>
        <v/>
      </c>
      <c r="I165" s="1" t="str">
        <f>IF($A165="","",Anmeldung!$I41)</f>
        <v/>
      </c>
      <c r="J165" s="1" t="str">
        <f t="shared" si="1"/>
        <v/>
      </c>
    </row>
    <row r="166" spans="1:10" ht="14.25" customHeight="1" x14ac:dyDescent="0.3">
      <c r="A166" s="1" t="str">
        <f>IF(AND(Anmeldung!$D41&lt;&gt;"",Anmeldung!$Q41="Ja",IFERROR(VALUE(LEFT(Anmeldung!$R41,FIND(":",Anmeldung!$R41)-1)),0)&gt;0,Anmeldung!$B41=MIN(Anmeldung!$B41,IFERROR(VALUE(LEFT(Anmeldung!$R41,FIND(":",Anmeldung!$R41)-1)),0),IF(IFERROR(VALUE(LEFT(Anmeldung!$S41,FIND(":",Anmeldung!$S41)-1)),0)=0,999,IFERROR(VALUE(LEFT(Anmeldung!$S41,FIND(":",Anmeldung!$S41)-1)),0)))),"Poomsae Family","")</f>
        <v/>
      </c>
      <c r="B166" s="1" t="str">
        <f>IF($A166="","","Poomsae Family / "&amp;Anmeldung!$T41)</f>
        <v/>
      </c>
      <c r="C166" s="1" t="str">
        <f t="shared" si="0"/>
        <v/>
      </c>
      <c r="D166" s="1" t="str">
        <f>IF($A166="","","Family")</f>
        <v/>
      </c>
      <c r="E166" s="1" t="str">
        <f t="array" ref="E166">IF($A166="","",Anmeldung!$E41&amp;" "&amp;Anmeldung!$D41&amp;" / "&amp;IF(IFERROR(VALUE(LEFT(Anmeldung!$R41,FIND(":",Anmeldung!$R41)-1)),0)=0,"",INDEX(Anmeldung!$E$18:$E$47,IFERROR(VALUE(LEFT(Anmeldung!$R41,FIND(":",Anmeldung!$R41)-1)),0))&amp;" "&amp;INDEX(Anmeldung!$D$18:$D$47,IFERROR(VALUE(LEFT(Anmeldung!$R41,FIND(":",Anmeldung!$R41)-1)),0)))&amp;IF(IFERROR(VALUE(LEFT(Anmeldung!$S41,FIND(":",Anmeldung!$S41)-1)),0)&gt;0," / "&amp;IF(IFERROR(VALUE(LEFT(Anmeldung!$S41,FIND(":",Anmeldung!$S41)-1)),0)=0,"",INDEX(Anmeldung!$E$18:$E$47,IFERROR(VALUE(LEFT(Anmeldung!$S41,FIND(":",Anmeldung!$S41)-1)),0))&amp;" "&amp;INDEX(Anmeldung!$D$18:$D$47,IFERROR(VALUE(LEFT(Anmeldung!$S41,FIND(":",Anmeldung!$S41)-1)),0))),""))</f>
        <v/>
      </c>
      <c r="F166" s="1" t="str">
        <f>IF($A166="","",Anmeldung!$B41&amp;", "&amp;IFERROR(VALUE(LEFT(Anmeldung!$R41,FIND(":",Anmeldung!$R41)-1)),0)&amp;IF(IFERROR(VALUE(LEFT(Anmeldung!$S41,FIND(":",Anmeldung!$S41)-1)),0)&gt;0,", "&amp;IFERROR(VALUE(LEFT(Anmeldung!$S41,FIND(":",Anmeldung!$S41)-1)),0),""))</f>
        <v/>
      </c>
      <c r="G166" s="1" t="str">
        <f>IF($A166="","","-")</f>
        <v/>
      </c>
      <c r="H166" s="1" t="str">
        <f>IF($A166="","",Anmeldung!$T41)</f>
        <v/>
      </c>
      <c r="I166" s="1" t="str">
        <f>IF($A166="","","niedrigste Graduierung")</f>
        <v/>
      </c>
      <c r="J166" s="1" t="str">
        <f t="shared" si="1"/>
        <v/>
      </c>
    </row>
    <row r="167" spans="1:10" ht="14.25" customHeight="1" x14ac:dyDescent="0.3">
      <c r="A167" s="1" t="str">
        <f>IF(AND(Anmeldung!$D41&lt;&gt;"",Anmeldung!$U41="Ja",IFERROR(VALUE(LEFT(Anmeldung!$V41,FIND(":",Anmeldung!$V41)-1)),0)&gt;0,Anmeldung!$B41=MIN(Anmeldung!$B41,IFERROR(VALUE(LEFT(Anmeldung!$V41,FIND(":",Anmeldung!$V41)-1)),0))),"Einschrittkampf","")</f>
        <v/>
      </c>
      <c r="B167" s="1" t="str">
        <f>IF($A167="","",Anmeldung!$G41&amp;" / "&amp;Anmeldung!$J41)</f>
        <v/>
      </c>
      <c r="C167" s="1" t="str">
        <f t="shared" si="0"/>
        <v/>
      </c>
      <c r="D167" s="1" t="str">
        <f>IF($A167="","","Paar")</f>
        <v/>
      </c>
      <c r="E167" s="1" t="str">
        <f t="array" ref="E167">IF($A167="","",Anmeldung!$E41&amp;" "&amp;Anmeldung!$D41&amp;" / "&amp;IF(IFERROR(VALUE(LEFT(Anmeldung!$V41,FIND(":",Anmeldung!$V41)-1)),0)=0,"",INDEX(Anmeldung!$E$18:$E$47,IFERROR(VALUE(LEFT(Anmeldung!$V41,FIND(":",Anmeldung!$V41)-1)),0))&amp;" "&amp;INDEX(Anmeldung!$D$18:$D$47,IFERROR(VALUE(LEFT(Anmeldung!$V41,FIND(":",Anmeldung!$V41)-1)),0))))</f>
        <v/>
      </c>
      <c r="F167" s="1" t="str">
        <f>IF($A167="","",Anmeldung!$B41&amp;", "&amp;IFERROR(VALUE(LEFT(Anmeldung!$V41,FIND(":",Anmeldung!$V41)-1)),0))</f>
        <v/>
      </c>
      <c r="G167" s="1" t="str">
        <f>IF($A167="","",Anmeldung!$G41)</f>
        <v/>
      </c>
      <c r="H167" s="1" t="str">
        <f>IF($A167="","",Anmeldung!$J41)</f>
        <v/>
      </c>
      <c r="I167" s="1" t="str">
        <f>IF($A167="","",Anmeldung!$I41)</f>
        <v/>
      </c>
      <c r="J167" s="1" t="str">
        <f t="shared" si="1"/>
        <v/>
      </c>
    </row>
    <row r="168" spans="1:10" ht="14.25" customHeight="1" x14ac:dyDescent="0.3">
      <c r="A168" s="1" t="str">
        <f>IF(AND(Anmeldung!$D41&lt;&gt;"",Anmeldung!$W41="Ja"),"Bruchtest","")</f>
        <v/>
      </c>
      <c r="B168" s="1" t="str">
        <f>IF($A168="","",IF(YEAR(Anmeldung!$F41)&gt;=2009,"Bruchtest 16-17 Jahre / JG 2010-2009 / 1,0 cm",IF(YEAR(Anmeldung!$F41)&gt;=1986,"Bruchtest 18-40 Jahre / JG 2008-1986 / 1,5 cm","Bruchtest ab 41 Jahre / JG ab 1985 / 1,0 cm")))</f>
        <v/>
      </c>
      <c r="C168" s="1" t="str">
        <f t="shared" si="0"/>
        <v/>
      </c>
      <c r="D168" s="1" t="str">
        <f t="shared" ref="D168:D170" si="25">IF($A168="","","Einzel")</f>
        <v/>
      </c>
      <c r="E168" s="1" t="str">
        <f>IF($A168="","",Anmeldung!$E41&amp;" "&amp;Anmeldung!$D41)</f>
        <v/>
      </c>
      <c r="F168" s="1" t="str">
        <f>IF($A168="","",Anmeldung!$B41)</f>
        <v/>
      </c>
      <c r="G168" s="1" t="str">
        <f>IF($A168="","",Anmeldung!$G41)</f>
        <v/>
      </c>
      <c r="H168" s="1" t="str">
        <f>IF($A168="","",Anmeldung!$J41)</f>
        <v/>
      </c>
      <c r="I168" s="1" t="str">
        <f>IF($A168="","",Anmeldung!$I41)</f>
        <v/>
      </c>
      <c r="J168" s="1" t="str">
        <f t="shared" si="1"/>
        <v/>
      </c>
    </row>
    <row r="169" spans="1:10" ht="14.25" customHeight="1" x14ac:dyDescent="0.3">
      <c r="A169" s="1" t="str">
        <f>IF(AND(Anmeldung!$D41&lt;&gt;"",Anmeldung!$X41="Ja"),"Speed-Kicking","")</f>
        <v/>
      </c>
      <c r="B169" s="1" t="str">
        <f>IF($A169="","",Anmeldung!$G41)</f>
        <v/>
      </c>
      <c r="C169" s="1" t="str">
        <f t="shared" si="0"/>
        <v/>
      </c>
      <c r="D169" s="1" t="str">
        <f t="shared" si="25"/>
        <v/>
      </c>
      <c r="E169" s="1" t="str">
        <f>IF($A169="","",Anmeldung!$E41&amp;" "&amp;Anmeldung!$D41)</f>
        <v/>
      </c>
      <c r="F169" s="1" t="str">
        <f>IF($A169="","",Anmeldung!$B41)</f>
        <v/>
      </c>
      <c r="G169" s="1" t="str">
        <f>IF($A169="","",Anmeldung!$G41)</f>
        <v/>
      </c>
      <c r="H169" s="1" t="str">
        <f>IF($A169="","",Anmeldung!$J41)</f>
        <v/>
      </c>
      <c r="I169" s="1" t="str">
        <f>IF($A169="","",Anmeldung!$I41)</f>
        <v/>
      </c>
      <c r="J169" s="1" t="str">
        <f t="shared" si="1"/>
        <v/>
      </c>
    </row>
    <row r="170" spans="1:10" ht="14.25" customHeight="1" x14ac:dyDescent="0.3">
      <c r="A170" s="1" t="str">
        <f>IF(AND(Anmeldung!$D42&lt;&gt;"",Anmeldung!$K42="Ja"),"Poomsae Einzel","")</f>
        <v/>
      </c>
      <c r="B170" s="1" t="str">
        <f>IF($A170="","",Anmeldung!$G42&amp;" / "&amp;Anmeldung!$J42)</f>
        <v/>
      </c>
      <c r="C170" s="1" t="str">
        <f t="shared" si="0"/>
        <v/>
      </c>
      <c r="D170" s="1" t="str">
        <f t="shared" si="25"/>
        <v/>
      </c>
      <c r="E170" s="1" t="str">
        <f>IF($A170="","",Anmeldung!$E42&amp;" "&amp;Anmeldung!$D42)</f>
        <v/>
      </c>
      <c r="F170" s="1" t="str">
        <f>IF($A170="","",Anmeldung!$B42)</f>
        <v/>
      </c>
      <c r="G170" s="1" t="str">
        <f>IF($A170="","",Anmeldung!$G42)</f>
        <v/>
      </c>
      <c r="H170" s="1" t="str">
        <f>IF($A170="","",Anmeldung!$J42)</f>
        <v/>
      </c>
      <c r="I170" s="1" t="str">
        <f>IF($A170="","",Anmeldung!$I42)</f>
        <v/>
      </c>
      <c r="J170" s="1" t="str">
        <f t="shared" si="1"/>
        <v/>
      </c>
    </row>
    <row r="171" spans="1:10" ht="14.25" customHeight="1" x14ac:dyDescent="0.3">
      <c r="A171" s="1" t="str">
        <f>IF(AND(Anmeldung!$D42&lt;&gt;"",Anmeldung!$L42="Ja",IFERROR(VALUE(LEFT(Anmeldung!$M42,FIND(":",Anmeldung!$M42)-1)),0)&gt;0,Anmeldung!$B42=MIN(Anmeldung!$B42,IFERROR(VALUE(LEFT(Anmeldung!$M42,FIND(":",Anmeldung!$M42)-1)),0))),"Poomsae Paar","")</f>
        <v/>
      </c>
      <c r="B171" s="1" t="str">
        <f>IF($A171="","",Anmeldung!$G42&amp;" / "&amp;Anmeldung!$J42)</f>
        <v/>
      </c>
      <c r="C171" s="1" t="str">
        <f t="shared" si="0"/>
        <v/>
      </c>
      <c r="D171" s="1" t="str">
        <f>IF($A171="","","Paar")</f>
        <v/>
      </c>
      <c r="E171" s="1" t="str">
        <f t="array" ref="E171">IF($A171="","",Anmeldung!$E42&amp;" "&amp;Anmeldung!$D42&amp;" / "&amp;IF(IFERROR(VALUE(LEFT(Anmeldung!$M42,FIND(":",Anmeldung!$M42)-1)),0)=0,"",INDEX(Anmeldung!$E$18:$E$47,IFERROR(VALUE(LEFT(Anmeldung!$M42,FIND(":",Anmeldung!$M42)-1)),0))&amp;" "&amp;INDEX(Anmeldung!$D$18:$D$47,IFERROR(VALUE(LEFT(Anmeldung!$M42,FIND(":",Anmeldung!$M42)-1)),0))))</f>
        <v/>
      </c>
      <c r="F171" s="1" t="str">
        <f>IF($A171="","",Anmeldung!$B42&amp;", "&amp;IFERROR(VALUE(LEFT(Anmeldung!$M42,FIND(":",Anmeldung!$M42)-1)),0))</f>
        <v/>
      </c>
      <c r="G171" s="1" t="str">
        <f>IF($A171="","",Anmeldung!$G42)</f>
        <v/>
      </c>
      <c r="H171" s="1" t="str">
        <f>IF($A171="","",Anmeldung!$J42)</f>
        <v/>
      </c>
      <c r="I171" s="1" t="str">
        <f>IF($A171="","",Anmeldung!$I42)</f>
        <v/>
      </c>
      <c r="J171" s="1" t="str">
        <f t="shared" si="1"/>
        <v/>
      </c>
    </row>
    <row r="172" spans="1:10" ht="14.25" customHeight="1" x14ac:dyDescent="0.3">
      <c r="A172" s="1" t="str">
        <f>IF(AND(Anmeldung!$D42&lt;&gt;"",Anmeldung!$N42="Ja",IFERROR(VALUE(LEFT(Anmeldung!$O42,FIND(":",Anmeldung!$O42)-1)),0)&gt;0,IFERROR(VALUE(LEFT(Anmeldung!$P42,FIND(":",Anmeldung!$P42)-1)),0)&gt;0,Anmeldung!$B42=MIN(Anmeldung!$B42,IFERROR(VALUE(LEFT(Anmeldung!$O42,FIND(":",Anmeldung!$O42)-1)),0),IFERROR(VALUE(LEFT(Anmeldung!$P42,FIND(":",Anmeldung!$P42)-1)),0))),"Poomsae Team","")</f>
        <v/>
      </c>
      <c r="B172" s="1" t="str">
        <f>IF($A172="","",Anmeldung!$G42&amp;" / "&amp;Anmeldung!$J42)</f>
        <v/>
      </c>
      <c r="C172" s="1" t="str">
        <f t="shared" si="0"/>
        <v/>
      </c>
      <c r="D172" s="1" t="str">
        <f>IF($A172="","","Team")</f>
        <v/>
      </c>
      <c r="E172" s="1" t="str">
        <f t="array" ref="E172">IF($A172="","",Anmeldung!$E42&amp;" "&amp;Anmeldung!$D42&amp;" / "&amp;IF(IFERROR(VALUE(LEFT(Anmeldung!$O42,FIND(":",Anmeldung!$O42)-1)),0)=0,"",INDEX(Anmeldung!$E$18:$E$47,IFERROR(VALUE(LEFT(Anmeldung!$O42,FIND(":",Anmeldung!$O42)-1)),0))&amp;" "&amp;INDEX(Anmeldung!$D$18:$D$47,IFERROR(VALUE(LEFT(Anmeldung!$O42,FIND(":",Anmeldung!$O42)-1)),0)))&amp;" / "&amp;IF(IFERROR(VALUE(LEFT(Anmeldung!$P42,FIND(":",Anmeldung!$P42)-1)),0)=0,"",INDEX(Anmeldung!$E$18:$E$47,IFERROR(VALUE(LEFT(Anmeldung!$P42,FIND(":",Anmeldung!$P42)-1)),0))&amp;" "&amp;INDEX(Anmeldung!$D$18:$D$47,IFERROR(VALUE(LEFT(Anmeldung!$P42,FIND(":",Anmeldung!$P42)-1)),0))))</f>
        <v/>
      </c>
      <c r="F172" s="1" t="str">
        <f>IF($A172="","",Anmeldung!$B42&amp;", "&amp;IFERROR(VALUE(LEFT(Anmeldung!$O42,FIND(":",Anmeldung!$O42)-1)),0)&amp;", "&amp;IFERROR(VALUE(LEFT(Anmeldung!$P42,FIND(":",Anmeldung!$P42)-1)),0))</f>
        <v/>
      </c>
      <c r="G172" s="1" t="str">
        <f>IF($A172="","",Anmeldung!$G42)</f>
        <v/>
      </c>
      <c r="H172" s="1" t="str">
        <f>IF($A172="","",Anmeldung!$J42)</f>
        <v/>
      </c>
      <c r="I172" s="1" t="str">
        <f>IF($A172="","",Anmeldung!$I42)</f>
        <v/>
      </c>
      <c r="J172" s="1" t="str">
        <f t="shared" si="1"/>
        <v/>
      </c>
    </row>
    <row r="173" spans="1:10" ht="14.25" customHeight="1" x14ac:dyDescent="0.3">
      <c r="A173" s="1" t="str">
        <f>IF(AND(Anmeldung!$D42&lt;&gt;"",Anmeldung!$Q42="Ja",IFERROR(VALUE(LEFT(Anmeldung!$R42,FIND(":",Anmeldung!$R42)-1)),0)&gt;0,Anmeldung!$B42=MIN(Anmeldung!$B42,IFERROR(VALUE(LEFT(Anmeldung!$R42,FIND(":",Anmeldung!$R42)-1)),0),IF(IFERROR(VALUE(LEFT(Anmeldung!$S42,FIND(":",Anmeldung!$S42)-1)),0)=0,999,IFERROR(VALUE(LEFT(Anmeldung!$S42,FIND(":",Anmeldung!$S42)-1)),0)))),"Poomsae Family","")</f>
        <v/>
      </c>
      <c r="B173" s="1" t="str">
        <f>IF($A173="","","Poomsae Family / "&amp;Anmeldung!$T42)</f>
        <v/>
      </c>
      <c r="C173" s="1" t="str">
        <f t="shared" si="0"/>
        <v/>
      </c>
      <c r="D173" s="1" t="str">
        <f>IF($A173="","","Family")</f>
        <v/>
      </c>
      <c r="E173" s="1" t="str">
        <f t="array" ref="E173">IF($A173="","",Anmeldung!$E42&amp;" "&amp;Anmeldung!$D42&amp;" / "&amp;IF(IFERROR(VALUE(LEFT(Anmeldung!$R42,FIND(":",Anmeldung!$R42)-1)),0)=0,"",INDEX(Anmeldung!$E$18:$E$47,IFERROR(VALUE(LEFT(Anmeldung!$R42,FIND(":",Anmeldung!$R42)-1)),0))&amp;" "&amp;INDEX(Anmeldung!$D$18:$D$47,IFERROR(VALUE(LEFT(Anmeldung!$R42,FIND(":",Anmeldung!$R42)-1)),0)))&amp;IF(IFERROR(VALUE(LEFT(Anmeldung!$S42,FIND(":",Anmeldung!$S42)-1)),0)&gt;0," / "&amp;IF(IFERROR(VALUE(LEFT(Anmeldung!$S42,FIND(":",Anmeldung!$S42)-1)),0)=0,"",INDEX(Anmeldung!$E$18:$E$47,IFERROR(VALUE(LEFT(Anmeldung!$S42,FIND(":",Anmeldung!$S42)-1)),0))&amp;" "&amp;INDEX(Anmeldung!$D$18:$D$47,IFERROR(VALUE(LEFT(Anmeldung!$S42,FIND(":",Anmeldung!$S42)-1)),0))),""))</f>
        <v/>
      </c>
      <c r="F173" s="1" t="str">
        <f>IF($A173="","",Anmeldung!$B42&amp;", "&amp;IFERROR(VALUE(LEFT(Anmeldung!$R42,FIND(":",Anmeldung!$R42)-1)),0)&amp;IF(IFERROR(VALUE(LEFT(Anmeldung!$S42,FIND(":",Anmeldung!$S42)-1)),0)&gt;0,", "&amp;IFERROR(VALUE(LEFT(Anmeldung!$S42,FIND(":",Anmeldung!$S42)-1)),0),""))</f>
        <v/>
      </c>
      <c r="G173" s="1" t="str">
        <f>IF($A173="","","-")</f>
        <v/>
      </c>
      <c r="H173" s="1" t="str">
        <f>IF($A173="","",Anmeldung!$T42)</f>
        <v/>
      </c>
      <c r="I173" s="1" t="str">
        <f>IF($A173="","","niedrigste Graduierung")</f>
        <v/>
      </c>
      <c r="J173" s="1" t="str">
        <f t="shared" si="1"/>
        <v/>
      </c>
    </row>
    <row r="174" spans="1:10" ht="14.25" customHeight="1" x14ac:dyDescent="0.3">
      <c r="A174" s="1" t="str">
        <f>IF(AND(Anmeldung!$D42&lt;&gt;"",Anmeldung!$U42="Ja",IFERROR(VALUE(LEFT(Anmeldung!$V42,FIND(":",Anmeldung!$V42)-1)),0)&gt;0,Anmeldung!$B42=MIN(Anmeldung!$B42,IFERROR(VALUE(LEFT(Anmeldung!$V42,FIND(":",Anmeldung!$V42)-1)),0))),"Einschrittkampf","")</f>
        <v/>
      </c>
      <c r="B174" s="1" t="str">
        <f>IF($A174="","",Anmeldung!$G42&amp;" / "&amp;Anmeldung!$J42)</f>
        <v/>
      </c>
      <c r="C174" s="1" t="str">
        <f t="shared" si="0"/>
        <v/>
      </c>
      <c r="D174" s="1" t="str">
        <f>IF($A174="","","Paar")</f>
        <v/>
      </c>
      <c r="E174" s="1" t="str">
        <f t="array" ref="E174">IF($A174="","",Anmeldung!$E42&amp;" "&amp;Anmeldung!$D42&amp;" / "&amp;IF(IFERROR(VALUE(LEFT(Anmeldung!$V42,FIND(":",Anmeldung!$V42)-1)),0)=0,"",INDEX(Anmeldung!$E$18:$E$47,IFERROR(VALUE(LEFT(Anmeldung!$V42,FIND(":",Anmeldung!$V42)-1)),0))&amp;" "&amp;INDEX(Anmeldung!$D$18:$D$47,IFERROR(VALUE(LEFT(Anmeldung!$V42,FIND(":",Anmeldung!$V42)-1)),0))))</f>
        <v/>
      </c>
      <c r="F174" s="1" t="str">
        <f>IF($A174="","",Anmeldung!$B42&amp;", "&amp;IFERROR(VALUE(LEFT(Anmeldung!$V42,FIND(":",Anmeldung!$V42)-1)),0))</f>
        <v/>
      </c>
      <c r="G174" s="1" t="str">
        <f>IF($A174="","",Anmeldung!$G42)</f>
        <v/>
      </c>
      <c r="H174" s="1" t="str">
        <f>IF($A174="","",Anmeldung!$J42)</f>
        <v/>
      </c>
      <c r="I174" s="1" t="str">
        <f>IF($A174="","",Anmeldung!$I42)</f>
        <v/>
      </c>
      <c r="J174" s="1" t="str">
        <f t="shared" si="1"/>
        <v/>
      </c>
    </row>
    <row r="175" spans="1:10" ht="14.25" customHeight="1" x14ac:dyDescent="0.3">
      <c r="A175" s="1" t="str">
        <f>IF(AND(Anmeldung!$D42&lt;&gt;"",Anmeldung!$W42="Ja"),"Bruchtest","")</f>
        <v/>
      </c>
      <c r="B175" s="1" t="str">
        <f>IF($A175="","",IF(YEAR(Anmeldung!$F42)&gt;=2009,"Bruchtest 16-17 Jahre / JG 2010-2009 / 1,0 cm",IF(YEAR(Anmeldung!$F42)&gt;=1986,"Bruchtest 18-40 Jahre / JG 2008-1986 / 1,5 cm","Bruchtest ab 41 Jahre / JG ab 1985 / 1,0 cm")))</f>
        <v/>
      </c>
      <c r="C175" s="1" t="str">
        <f t="shared" si="0"/>
        <v/>
      </c>
      <c r="D175" s="1" t="str">
        <f t="shared" ref="D175:D177" si="26">IF($A175="","","Einzel")</f>
        <v/>
      </c>
      <c r="E175" s="1" t="str">
        <f>IF($A175="","",Anmeldung!$E42&amp;" "&amp;Anmeldung!$D42)</f>
        <v/>
      </c>
      <c r="F175" s="1" t="str">
        <f>IF($A175="","",Anmeldung!$B42)</f>
        <v/>
      </c>
      <c r="G175" s="1" t="str">
        <f>IF($A175="","",Anmeldung!$G42)</f>
        <v/>
      </c>
      <c r="H175" s="1" t="str">
        <f>IF($A175="","",Anmeldung!$J42)</f>
        <v/>
      </c>
      <c r="I175" s="1" t="str">
        <f>IF($A175="","",Anmeldung!$I42)</f>
        <v/>
      </c>
      <c r="J175" s="1" t="str">
        <f t="shared" si="1"/>
        <v/>
      </c>
    </row>
    <row r="176" spans="1:10" ht="14.25" customHeight="1" x14ac:dyDescent="0.3">
      <c r="A176" s="1" t="str">
        <f>IF(AND(Anmeldung!$D42&lt;&gt;"",Anmeldung!$X42="Ja"),"Speed-Kicking","")</f>
        <v/>
      </c>
      <c r="B176" s="1" t="str">
        <f>IF($A176="","",Anmeldung!$G42)</f>
        <v/>
      </c>
      <c r="C176" s="1" t="str">
        <f t="shared" si="0"/>
        <v/>
      </c>
      <c r="D176" s="1" t="str">
        <f t="shared" si="26"/>
        <v/>
      </c>
      <c r="E176" s="1" t="str">
        <f>IF($A176="","",Anmeldung!$E42&amp;" "&amp;Anmeldung!$D42)</f>
        <v/>
      </c>
      <c r="F176" s="1" t="str">
        <f>IF($A176="","",Anmeldung!$B42)</f>
        <v/>
      </c>
      <c r="G176" s="1" t="str">
        <f>IF($A176="","",Anmeldung!$G42)</f>
        <v/>
      </c>
      <c r="H176" s="1" t="str">
        <f>IF($A176="","",Anmeldung!$J42)</f>
        <v/>
      </c>
      <c r="I176" s="1" t="str">
        <f>IF($A176="","",Anmeldung!$I42)</f>
        <v/>
      </c>
      <c r="J176" s="1" t="str">
        <f t="shared" si="1"/>
        <v/>
      </c>
    </row>
    <row r="177" spans="1:10" ht="14.25" customHeight="1" x14ac:dyDescent="0.3">
      <c r="A177" s="1" t="str">
        <f>IF(AND(Anmeldung!$D43&lt;&gt;"",Anmeldung!$K43="Ja"),"Poomsae Einzel","")</f>
        <v/>
      </c>
      <c r="B177" s="1" t="str">
        <f>IF($A177="","",Anmeldung!$G43&amp;" / "&amp;Anmeldung!$J43)</f>
        <v/>
      </c>
      <c r="C177" s="1" t="str">
        <f t="shared" si="0"/>
        <v/>
      </c>
      <c r="D177" s="1" t="str">
        <f t="shared" si="26"/>
        <v/>
      </c>
      <c r="E177" s="1" t="str">
        <f>IF($A177="","",Anmeldung!$E43&amp;" "&amp;Anmeldung!$D43)</f>
        <v/>
      </c>
      <c r="F177" s="1" t="str">
        <f>IF($A177="","",Anmeldung!$B43)</f>
        <v/>
      </c>
      <c r="G177" s="1" t="str">
        <f>IF($A177="","",Anmeldung!$G43)</f>
        <v/>
      </c>
      <c r="H177" s="1" t="str">
        <f>IF($A177="","",Anmeldung!$J43)</f>
        <v/>
      </c>
      <c r="I177" s="1" t="str">
        <f>IF($A177="","",Anmeldung!$I43)</f>
        <v/>
      </c>
      <c r="J177" s="1" t="str">
        <f t="shared" si="1"/>
        <v/>
      </c>
    </row>
    <row r="178" spans="1:10" ht="14.25" customHeight="1" x14ac:dyDescent="0.3">
      <c r="A178" s="1" t="str">
        <f>IF(AND(Anmeldung!$D43&lt;&gt;"",Anmeldung!$L43="Ja",IFERROR(VALUE(LEFT(Anmeldung!$M43,FIND(":",Anmeldung!$M43)-1)),0)&gt;0,Anmeldung!$B43=MIN(Anmeldung!$B43,IFERROR(VALUE(LEFT(Anmeldung!$M43,FIND(":",Anmeldung!$M43)-1)),0))),"Poomsae Paar","")</f>
        <v/>
      </c>
      <c r="B178" s="1" t="str">
        <f>IF($A178="","",Anmeldung!$G43&amp;" / "&amp;Anmeldung!$J43)</f>
        <v/>
      </c>
      <c r="C178" s="1" t="str">
        <f t="shared" si="0"/>
        <v/>
      </c>
      <c r="D178" s="1" t="str">
        <f>IF($A178="","","Paar")</f>
        <v/>
      </c>
      <c r="E178" s="1" t="str">
        <f t="array" ref="E178">IF($A178="","",Anmeldung!$E43&amp;" "&amp;Anmeldung!$D43&amp;" / "&amp;IF(IFERROR(VALUE(LEFT(Anmeldung!$M43,FIND(":",Anmeldung!$M43)-1)),0)=0,"",INDEX(Anmeldung!$E$18:$E$47,IFERROR(VALUE(LEFT(Anmeldung!$M43,FIND(":",Anmeldung!$M43)-1)),0))&amp;" "&amp;INDEX(Anmeldung!$D$18:$D$47,IFERROR(VALUE(LEFT(Anmeldung!$M43,FIND(":",Anmeldung!$M43)-1)),0))))</f>
        <v/>
      </c>
      <c r="F178" s="1" t="str">
        <f>IF($A178="","",Anmeldung!$B43&amp;", "&amp;IFERROR(VALUE(LEFT(Anmeldung!$M43,FIND(":",Anmeldung!$M43)-1)),0))</f>
        <v/>
      </c>
      <c r="G178" s="1" t="str">
        <f>IF($A178="","",Anmeldung!$G43)</f>
        <v/>
      </c>
      <c r="H178" s="1" t="str">
        <f>IF($A178="","",Anmeldung!$J43)</f>
        <v/>
      </c>
      <c r="I178" s="1" t="str">
        <f>IF($A178="","",Anmeldung!$I43)</f>
        <v/>
      </c>
      <c r="J178" s="1" t="str">
        <f t="shared" si="1"/>
        <v/>
      </c>
    </row>
    <row r="179" spans="1:10" ht="14.25" customHeight="1" x14ac:dyDescent="0.3">
      <c r="A179" s="1" t="str">
        <f>IF(AND(Anmeldung!$D43&lt;&gt;"",Anmeldung!$N43="Ja",IFERROR(VALUE(LEFT(Anmeldung!$O43,FIND(":",Anmeldung!$O43)-1)),0)&gt;0,IFERROR(VALUE(LEFT(Anmeldung!$P43,FIND(":",Anmeldung!$P43)-1)),0)&gt;0,Anmeldung!$B43=MIN(Anmeldung!$B43,IFERROR(VALUE(LEFT(Anmeldung!$O43,FIND(":",Anmeldung!$O43)-1)),0),IFERROR(VALUE(LEFT(Anmeldung!$P43,FIND(":",Anmeldung!$P43)-1)),0))),"Poomsae Team","")</f>
        <v/>
      </c>
      <c r="B179" s="1" t="str">
        <f>IF($A179="","",Anmeldung!$G43&amp;" / "&amp;Anmeldung!$J43)</f>
        <v/>
      </c>
      <c r="C179" s="1" t="str">
        <f t="shared" si="0"/>
        <v/>
      </c>
      <c r="D179" s="1" t="str">
        <f>IF($A179="","","Team")</f>
        <v/>
      </c>
      <c r="E179" s="1" t="str">
        <f t="array" ref="E179">IF($A179="","",Anmeldung!$E43&amp;" "&amp;Anmeldung!$D43&amp;" / "&amp;IF(IFERROR(VALUE(LEFT(Anmeldung!$O43,FIND(":",Anmeldung!$O43)-1)),0)=0,"",INDEX(Anmeldung!$E$18:$E$47,IFERROR(VALUE(LEFT(Anmeldung!$O43,FIND(":",Anmeldung!$O43)-1)),0))&amp;" "&amp;INDEX(Anmeldung!$D$18:$D$47,IFERROR(VALUE(LEFT(Anmeldung!$O43,FIND(":",Anmeldung!$O43)-1)),0)))&amp;" / "&amp;IF(IFERROR(VALUE(LEFT(Anmeldung!$P43,FIND(":",Anmeldung!$P43)-1)),0)=0,"",INDEX(Anmeldung!$E$18:$E$47,IFERROR(VALUE(LEFT(Anmeldung!$P43,FIND(":",Anmeldung!$P43)-1)),0))&amp;" "&amp;INDEX(Anmeldung!$D$18:$D$47,IFERROR(VALUE(LEFT(Anmeldung!$P43,FIND(":",Anmeldung!$P43)-1)),0))))</f>
        <v/>
      </c>
      <c r="F179" s="1" t="str">
        <f>IF($A179="","",Anmeldung!$B43&amp;", "&amp;IFERROR(VALUE(LEFT(Anmeldung!$O43,FIND(":",Anmeldung!$O43)-1)),0)&amp;", "&amp;IFERROR(VALUE(LEFT(Anmeldung!$P43,FIND(":",Anmeldung!$P43)-1)),0))</f>
        <v/>
      </c>
      <c r="G179" s="1" t="str">
        <f>IF($A179="","",Anmeldung!$G43)</f>
        <v/>
      </c>
      <c r="H179" s="1" t="str">
        <f>IF($A179="","",Anmeldung!$J43)</f>
        <v/>
      </c>
      <c r="I179" s="1" t="str">
        <f>IF($A179="","",Anmeldung!$I43)</f>
        <v/>
      </c>
      <c r="J179" s="1" t="str">
        <f t="shared" si="1"/>
        <v/>
      </c>
    </row>
    <row r="180" spans="1:10" ht="14.25" customHeight="1" x14ac:dyDescent="0.3">
      <c r="A180" s="1" t="str">
        <f>IF(AND(Anmeldung!$D43&lt;&gt;"",Anmeldung!$Q43="Ja",IFERROR(VALUE(LEFT(Anmeldung!$R43,FIND(":",Anmeldung!$R43)-1)),0)&gt;0,Anmeldung!$B43=MIN(Anmeldung!$B43,IFERROR(VALUE(LEFT(Anmeldung!$R43,FIND(":",Anmeldung!$R43)-1)),0),IF(IFERROR(VALUE(LEFT(Anmeldung!$S43,FIND(":",Anmeldung!$S43)-1)),0)=0,999,IFERROR(VALUE(LEFT(Anmeldung!$S43,FIND(":",Anmeldung!$S43)-1)),0)))),"Poomsae Family","")</f>
        <v/>
      </c>
      <c r="B180" s="1" t="str">
        <f>IF($A180="","","Poomsae Family / "&amp;Anmeldung!$T43)</f>
        <v/>
      </c>
      <c r="C180" s="1" t="str">
        <f t="shared" si="0"/>
        <v/>
      </c>
      <c r="D180" s="1" t="str">
        <f>IF($A180="","","Family")</f>
        <v/>
      </c>
      <c r="E180" s="1" t="str">
        <f t="array" ref="E180">IF($A180="","",Anmeldung!$E43&amp;" "&amp;Anmeldung!$D43&amp;" / "&amp;IF(IFERROR(VALUE(LEFT(Anmeldung!$R43,FIND(":",Anmeldung!$R43)-1)),0)=0,"",INDEX(Anmeldung!$E$18:$E$47,IFERROR(VALUE(LEFT(Anmeldung!$R43,FIND(":",Anmeldung!$R43)-1)),0))&amp;" "&amp;INDEX(Anmeldung!$D$18:$D$47,IFERROR(VALUE(LEFT(Anmeldung!$R43,FIND(":",Anmeldung!$R43)-1)),0)))&amp;IF(IFERROR(VALUE(LEFT(Anmeldung!$S43,FIND(":",Anmeldung!$S43)-1)),0)&gt;0," / "&amp;IF(IFERROR(VALUE(LEFT(Anmeldung!$S43,FIND(":",Anmeldung!$S43)-1)),0)=0,"",INDEX(Anmeldung!$E$18:$E$47,IFERROR(VALUE(LEFT(Anmeldung!$S43,FIND(":",Anmeldung!$S43)-1)),0))&amp;" "&amp;INDEX(Anmeldung!$D$18:$D$47,IFERROR(VALUE(LEFT(Anmeldung!$S43,FIND(":",Anmeldung!$S43)-1)),0))),""))</f>
        <v/>
      </c>
      <c r="F180" s="1" t="str">
        <f>IF($A180="","",Anmeldung!$B43&amp;", "&amp;IFERROR(VALUE(LEFT(Anmeldung!$R43,FIND(":",Anmeldung!$R43)-1)),0)&amp;IF(IFERROR(VALUE(LEFT(Anmeldung!$S43,FIND(":",Anmeldung!$S43)-1)),0)&gt;0,", "&amp;IFERROR(VALUE(LEFT(Anmeldung!$S43,FIND(":",Anmeldung!$S43)-1)),0),""))</f>
        <v/>
      </c>
      <c r="G180" s="1" t="str">
        <f>IF($A180="","","-")</f>
        <v/>
      </c>
      <c r="H180" s="1" t="str">
        <f>IF($A180="","",Anmeldung!$T43)</f>
        <v/>
      </c>
      <c r="I180" s="1" t="str">
        <f>IF($A180="","","niedrigste Graduierung")</f>
        <v/>
      </c>
      <c r="J180" s="1" t="str">
        <f t="shared" si="1"/>
        <v/>
      </c>
    </row>
    <row r="181" spans="1:10" ht="14.25" customHeight="1" x14ac:dyDescent="0.3">
      <c r="A181" s="1" t="str">
        <f>IF(AND(Anmeldung!$D43&lt;&gt;"",Anmeldung!$U43="Ja",IFERROR(VALUE(LEFT(Anmeldung!$V43,FIND(":",Anmeldung!$V43)-1)),0)&gt;0,Anmeldung!$B43=MIN(Anmeldung!$B43,IFERROR(VALUE(LEFT(Anmeldung!$V43,FIND(":",Anmeldung!$V43)-1)),0))),"Einschrittkampf","")</f>
        <v/>
      </c>
      <c r="B181" s="1" t="str">
        <f>IF($A181="","",Anmeldung!$G43&amp;" / "&amp;Anmeldung!$J43)</f>
        <v/>
      </c>
      <c r="C181" s="1" t="str">
        <f t="shared" si="0"/>
        <v/>
      </c>
      <c r="D181" s="1" t="str">
        <f>IF($A181="","","Paar")</f>
        <v/>
      </c>
      <c r="E181" s="1" t="str">
        <f t="array" ref="E181">IF($A181="","",Anmeldung!$E43&amp;" "&amp;Anmeldung!$D43&amp;" / "&amp;IF(IFERROR(VALUE(LEFT(Anmeldung!$V43,FIND(":",Anmeldung!$V43)-1)),0)=0,"",INDEX(Anmeldung!$E$18:$E$47,IFERROR(VALUE(LEFT(Anmeldung!$V43,FIND(":",Anmeldung!$V43)-1)),0))&amp;" "&amp;INDEX(Anmeldung!$D$18:$D$47,IFERROR(VALUE(LEFT(Anmeldung!$V43,FIND(":",Anmeldung!$V43)-1)),0))))</f>
        <v/>
      </c>
      <c r="F181" s="1" t="str">
        <f>IF($A181="","",Anmeldung!$B43&amp;", "&amp;IFERROR(VALUE(LEFT(Anmeldung!$V43,FIND(":",Anmeldung!$V43)-1)),0))</f>
        <v/>
      </c>
      <c r="G181" s="1" t="str">
        <f>IF($A181="","",Anmeldung!$G43)</f>
        <v/>
      </c>
      <c r="H181" s="1" t="str">
        <f>IF($A181="","",Anmeldung!$J43)</f>
        <v/>
      </c>
      <c r="I181" s="1" t="str">
        <f>IF($A181="","",Anmeldung!$I43)</f>
        <v/>
      </c>
      <c r="J181" s="1" t="str">
        <f t="shared" si="1"/>
        <v/>
      </c>
    </row>
    <row r="182" spans="1:10" ht="14.25" customHeight="1" x14ac:dyDescent="0.3">
      <c r="A182" s="1" t="str">
        <f>IF(AND(Anmeldung!$D43&lt;&gt;"",Anmeldung!$W43="Ja"),"Bruchtest","")</f>
        <v/>
      </c>
      <c r="B182" s="1" t="str">
        <f>IF($A182="","",IF(YEAR(Anmeldung!$F43)&gt;=2009,"Bruchtest 16-17 Jahre / JG 2010-2009 / 1,0 cm",IF(YEAR(Anmeldung!$F43)&gt;=1986,"Bruchtest 18-40 Jahre / JG 2008-1986 / 1,5 cm","Bruchtest ab 41 Jahre / JG ab 1985 / 1,0 cm")))</f>
        <v/>
      </c>
      <c r="C182" s="1" t="str">
        <f t="shared" si="0"/>
        <v/>
      </c>
      <c r="D182" s="1" t="str">
        <f t="shared" ref="D182:D184" si="27">IF($A182="","","Einzel")</f>
        <v/>
      </c>
      <c r="E182" s="1" t="str">
        <f>IF($A182="","",Anmeldung!$E43&amp;" "&amp;Anmeldung!$D43)</f>
        <v/>
      </c>
      <c r="F182" s="1" t="str">
        <f>IF($A182="","",Anmeldung!$B43)</f>
        <v/>
      </c>
      <c r="G182" s="1" t="str">
        <f>IF($A182="","",Anmeldung!$G43)</f>
        <v/>
      </c>
      <c r="H182" s="1" t="str">
        <f>IF($A182="","",Anmeldung!$J43)</f>
        <v/>
      </c>
      <c r="I182" s="1" t="str">
        <f>IF($A182="","",Anmeldung!$I43)</f>
        <v/>
      </c>
      <c r="J182" s="1" t="str">
        <f t="shared" si="1"/>
        <v/>
      </c>
    </row>
    <row r="183" spans="1:10" ht="14.25" customHeight="1" x14ac:dyDescent="0.3">
      <c r="A183" s="1" t="str">
        <f>IF(AND(Anmeldung!$D43&lt;&gt;"",Anmeldung!$X43="Ja"),"Speed-Kicking","")</f>
        <v/>
      </c>
      <c r="B183" s="1" t="str">
        <f>IF($A183="","",Anmeldung!$G43)</f>
        <v/>
      </c>
      <c r="C183" s="1" t="str">
        <f t="shared" si="0"/>
        <v/>
      </c>
      <c r="D183" s="1" t="str">
        <f t="shared" si="27"/>
        <v/>
      </c>
      <c r="E183" s="1" t="str">
        <f>IF($A183="","",Anmeldung!$E43&amp;" "&amp;Anmeldung!$D43)</f>
        <v/>
      </c>
      <c r="F183" s="1" t="str">
        <f>IF($A183="","",Anmeldung!$B43)</f>
        <v/>
      </c>
      <c r="G183" s="1" t="str">
        <f>IF($A183="","",Anmeldung!$G43)</f>
        <v/>
      </c>
      <c r="H183" s="1" t="str">
        <f>IF($A183="","",Anmeldung!$J43)</f>
        <v/>
      </c>
      <c r="I183" s="1" t="str">
        <f>IF($A183="","",Anmeldung!$I43)</f>
        <v/>
      </c>
      <c r="J183" s="1" t="str">
        <f t="shared" si="1"/>
        <v/>
      </c>
    </row>
    <row r="184" spans="1:10" ht="14.25" customHeight="1" x14ac:dyDescent="0.3">
      <c r="A184" s="1" t="str">
        <f>IF(AND(Anmeldung!$D44&lt;&gt;"",Anmeldung!$K44="Ja"),"Poomsae Einzel","")</f>
        <v/>
      </c>
      <c r="B184" s="1" t="str">
        <f>IF($A184="","",Anmeldung!$G44&amp;" / "&amp;Anmeldung!$J44)</f>
        <v/>
      </c>
      <c r="C184" s="1" t="str">
        <f t="shared" si="0"/>
        <v/>
      </c>
      <c r="D184" s="1" t="str">
        <f t="shared" si="27"/>
        <v/>
      </c>
      <c r="E184" s="1" t="str">
        <f>IF($A184="","",Anmeldung!$E44&amp;" "&amp;Anmeldung!$D44)</f>
        <v/>
      </c>
      <c r="F184" s="1" t="str">
        <f>IF($A184="","",Anmeldung!$B44)</f>
        <v/>
      </c>
      <c r="G184" s="1" t="str">
        <f>IF($A184="","",Anmeldung!$G44)</f>
        <v/>
      </c>
      <c r="H184" s="1" t="str">
        <f>IF($A184="","",Anmeldung!$J44)</f>
        <v/>
      </c>
      <c r="I184" s="1" t="str">
        <f>IF($A184="","",Anmeldung!$I44)</f>
        <v/>
      </c>
      <c r="J184" s="1" t="str">
        <f t="shared" si="1"/>
        <v/>
      </c>
    </row>
    <row r="185" spans="1:10" ht="14.25" customHeight="1" x14ac:dyDescent="0.3">
      <c r="A185" s="1" t="str">
        <f>IF(AND(Anmeldung!$D44&lt;&gt;"",Anmeldung!$L44="Ja",IFERROR(VALUE(LEFT(Anmeldung!$M44,FIND(":",Anmeldung!$M44)-1)),0)&gt;0,Anmeldung!$B44=MIN(Anmeldung!$B44,IFERROR(VALUE(LEFT(Anmeldung!$M44,FIND(":",Anmeldung!$M44)-1)),0))),"Poomsae Paar","")</f>
        <v/>
      </c>
      <c r="B185" s="1" t="str">
        <f>IF($A185="","",Anmeldung!$G44&amp;" / "&amp;Anmeldung!$J44)</f>
        <v/>
      </c>
      <c r="C185" s="1" t="str">
        <f t="shared" si="0"/>
        <v/>
      </c>
      <c r="D185" s="1" t="str">
        <f>IF($A185="","","Paar")</f>
        <v/>
      </c>
      <c r="E185" s="1" t="str">
        <f t="array" ref="E185">IF($A185="","",Anmeldung!$E44&amp;" "&amp;Anmeldung!$D44&amp;" / "&amp;IF(IFERROR(VALUE(LEFT(Anmeldung!$M44,FIND(":",Anmeldung!$M44)-1)),0)=0,"",INDEX(Anmeldung!$E$18:$E$47,IFERROR(VALUE(LEFT(Anmeldung!$M44,FIND(":",Anmeldung!$M44)-1)),0))&amp;" "&amp;INDEX(Anmeldung!$D$18:$D$47,IFERROR(VALUE(LEFT(Anmeldung!$M44,FIND(":",Anmeldung!$M44)-1)),0))))</f>
        <v/>
      </c>
      <c r="F185" s="1" t="str">
        <f>IF($A185="","",Anmeldung!$B44&amp;", "&amp;IFERROR(VALUE(LEFT(Anmeldung!$M44,FIND(":",Anmeldung!$M44)-1)),0))</f>
        <v/>
      </c>
      <c r="G185" s="1" t="str">
        <f>IF($A185="","",Anmeldung!$G44)</f>
        <v/>
      </c>
      <c r="H185" s="1" t="str">
        <f>IF($A185="","",Anmeldung!$J44)</f>
        <v/>
      </c>
      <c r="I185" s="1" t="str">
        <f>IF($A185="","",Anmeldung!$I44)</f>
        <v/>
      </c>
      <c r="J185" s="1" t="str">
        <f t="shared" si="1"/>
        <v/>
      </c>
    </row>
    <row r="186" spans="1:10" ht="14.25" customHeight="1" x14ac:dyDescent="0.3">
      <c r="A186" s="1" t="str">
        <f>IF(AND(Anmeldung!$D44&lt;&gt;"",Anmeldung!$N44="Ja",IFERROR(VALUE(LEFT(Anmeldung!$O44,FIND(":",Anmeldung!$O44)-1)),0)&gt;0,IFERROR(VALUE(LEFT(Anmeldung!$P44,FIND(":",Anmeldung!$P44)-1)),0)&gt;0,Anmeldung!$B44=MIN(Anmeldung!$B44,IFERROR(VALUE(LEFT(Anmeldung!$O44,FIND(":",Anmeldung!$O44)-1)),0),IFERROR(VALUE(LEFT(Anmeldung!$P44,FIND(":",Anmeldung!$P44)-1)),0))),"Poomsae Team","")</f>
        <v/>
      </c>
      <c r="B186" s="1" t="str">
        <f>IF($A186="","",Anmeldung!$G44&amp;" / "&amp;Anmeldung!$J44)</f>
        <v/>
      </c>
      <c r="C186" s="1" t="str">
        <f t="shared" si="0"/>
        <v/>
      </c>
      <c r="D186" s="1" t="str">
        <f>IF($A186="","","Team")</f>
        <v/>
      </c>
      <c r="E186" s="1" t="str">
        <f t="array" ref="E186">IF($A186="","",Anmeldung!$E44&amp;" "&amp;Anmeldung!$D44&amp;" / "&amp;IF(IFERROR(VALUE(LEFT(Anmeldung!$O44,FIND(":",Anmeldung!$O44)-1)),0)=0,"",INDEX(Anmeldung!$E$18:$E$47,IFERROR(VALUE(LEFT(Anmeldung!$O44,FIND(":",Anmeldung!$O44)-1)),0))&amp;" "&amp;INDEX(Anmeldung!$D$18:$D$47,IFERROR(VALUE(LEFT(Anmeldung!$O44,FIND(":",Anmeldung!$O44)-1)),0)))&amp;" / "&amp;IF(IFERROR(VALUE(LEFT(Anmeldung!$P44,FIND(":",Anmeldung!$P44)-1)),0)=0,"",INDEX(Anmeldung!$E$18:$E$47,IFERROR(VALUE(LEFT(Anmeldung!$P44,FIND(":",Anmeldung!$P44)-1)),0))&amp;" "&amp;INDEX(Anmeldung!$D$18:$D$47,IFERROR(VALUE(LEFT(Anmeldung!$P44,FIND(":",Anmeldung!$P44)-1)),0))))</f>
        <v/>
      </c>
      <c r="F186" s="1" t="str">
        <f>IF($A186="","",Anmeldung!$B44&amp;", "&amp;IFERROR(VALUE(LEFT(Anmeldung!$O44,FIND(":",Anmeldung!$O44)-1)),0)&amp;", "&amp;IFERROR(VALUE(LEFT(Anmeldung!$P44,FIND(":",Anmeldung!$P44)-1)),0))</f>
        <v/>
      </c>
      <c r="G186" s="1" t="str">
        <f>IF($A186="","",Anmeldung!$G44)</f>
        <v/>
      </c>
      <c r="H186" s="1" t="str">
        <f>IF($A186="","",Anmeldung!$J44)</f>
        <v/>
      </c>
      <c r="I186" s="1" t="str">
        <f>IF($A186="","",Anmeldung!$I44)</f>
        <v/>
      </c>
      <c r="J186" s="1" t="str">
        <f t="shared" si="1"/>
        <v/>
      </c>
    </row>
    <row r="187" spans="1:10" ht="14.25" customHeight="1" x14ac:dyDescent="0.3">
      <c r="A187" s="1" t="str">
        <f>IF(AND(Anmeldung!$D44&lt;&gt;"",Anmeldung!$Q44="Ja",IFERROR(VALUE(LEFT(Anmeldung!$R44,FIND(":",Anmeldung!$R44)-1)),0)&gt;0,Anmeldung!$B44=MIN(Anmeldung!$B44,IFERROR(VALUE(LEFT(Anmeldung!$R44,FIND(":",Anmeldung!$R44)-1)),0),IF(IFERROR(VALUE(LEFT(Anmeldung!$S44,FIND(":",Anmeldung!$S44)-1)),0)=0,999,IFERROR(VALUE(LEFT(Anmeldung!$S44,FIND(":",Anmeldung!$S44)-1)),0)))),"Poomsae Family","")</f>
        <v/>
      </c>
      <c r="B187" s="1" t="str">
        <f>IF($A187="","","Poomsae Family / "&amp;Anmeldung!$T44)</f>
        <v/>
      </c>
      <c r="C187" s="1" t="str">
        <f t="shared" si="0"/>
        <v/>
      </c>
      <c r="D187" s="1" t="str">
        <f>IF($A187="","","Family")</f>
        <v/>
      </c>
      <c r="E187" s="1" t="str">
        <f t="array" ref="E187">IF($A187="","",Anmeldung!$E44&amp;" "&amp;Anmeldung!$D44&amp;" / "&amp;IF(IFERROR(VALUE(LEFT(Anmeldung!$R44,FIND(":",Anmeldung!$R44)-1)),0)=0,"",INDEX(Anmeldung!$E$18:$E$47,IFERROR(VALUE(LEFT(Anmeldung!$R44,FIND(":",Anmeldung!$R44)-1)),0))&amp;" "&amp;INDEX(Anmeldung!$D$18:$D$47,IFERROR(VALUE(LEFT(Anmeldung!$R44,FIND(":",Anmeldung!$R44)-1)),0)))&amp;IF(IFERROR(VALUE(LEFT(Anmeldung!$S44,FIND(":",Anmeldung!$S44)-1)),0)&gt;0," / "&amp;IF(IFERROR(VALUE(LEFT(Anmeldung!$S44,FIND(":",Anmeldung!$S44)-1)),0)=0,"",INDEX(Anmeldung!$E$18:$E$47,IFERROR(VALUE(LEFT(Anmeldung!$S44,FIND(":",Anmeldung!$S44)-1)),0))&amp;" "&amp;INDEX(Anmeldung!$D$18:$D$47,IFERROR(VALUE(LEFT(Anmeldung!$S44,FIND(":",Anmeldung!$S44)-1)),0))),""))</f>
        <v/>
      </c>
      <c r="F187" s="1" t="str">
        <f>IF($A187="","",Anmeldung!$B44&amp;", "&amp;IFERROR(VALUE(LEFT(Anmeldung!$R44,FIND(":",Anmeldung!$R44)-1)),0)&amp;IF(IFERROR(VALUE(LEFT(Anmeldung!$S44,FIND(":",Anmeldung!$S44)-1)),0)&gt;0,", "&amp;IFERROR(VALUE(LEFT(Anmeldung!$S44,FIND(":",Anmeldung!$S44)-1)),0),""))</f>
        <v/>
      </c>
      <c r="G187" s="1" t="str">
        <f>IF($A187="","","-")</f>
        <v/>
      </c>
      <c r="H187" s="1" t="str">
        <f>IF($A187="","",Anmeldung!$T44)</f>
        <v/>
      </c>
      <c r="I187" s="1" t="str">
        <f>IF($A187="","","niedrigste Graduierung")</f>
        <v/>
      </c>
      <c r="J187" s="1" t="str">
        <f t="shared" si="1"/>
        <v/>
      </c>
    </row>
    <row r="188" spans="1:10" ht="14.25" customHeight="1" x14ac:dyDescent="0.3">
      <c r="A188" s="1" t="str">
        <f>IF(AND(Anmeldung!$D44&lt;&gt;"",Anmeldung!$U44="Ja",IFERROR(VALUE(LEFT(Anmeldung!$V44,FIND(":",Anmeldung!$V44)-1)),0)&gt;0,Anmeldung!$B44=MIN(Anmeldung!$B44,IFERROR(VALUE(LEFT(Anmeldung!$V44,FIND(":",Anmeldung!$V44)-1)),0))),"Einschrittkampf","")</f>
        <v/>
      </c>
      <c r="B188" s="1" t="str">
        <f>IF($A188="","",Anmeldung!$G44&amp;" / "&amp;Anmeldung!$J44)</f>
        <v/>
      </c>
      <c r="C188" s="1" t="str">
        <f t="shared" si="0"/>
        <v/>
      </c>
      <c r="D188" s="1" t="str">
        <f>IF($A188="","","Paar")</f>
        <v/>
      </c>
      <c r="E188" s="1" t="str">
        <f t="array" ref="E188">IF($A188="","",Anmeldung!$E44&amp;" "&amp;Anmeldung!$D44&amp;" / "&amp;IF(IFERROR(VALUE(LEFT(Anmeldung!$V44,FIND(":",Anmeldung!$V44)-1)),0)=0,"",INDEX(Anmeldung!$E$18:$E$47,IFERROR(VALUE(LEFT(Anmeldung!$V44,FIND(":",Anmeldung!$V44)-1)),0))&amp;" "&amp;INDEX(Anmeldung!$D$18:$D$47,IFERROR(VALUE(LEFT(Anmeldung!$V44,FIND(":",Anmeldung!$V44)-1)),0))))</f>
        <v/>
      </c>
      <c r="F188" s="1" t="str">
        <f>IF($A188="","",Anmeldung!$B44&amp;", "&amp;IFERROR(VALUE(LEFT(Anmeldung!$V44,FIND(":",Anmeldung!$V44)-1)),0))</f>
        <v/>
      </c>
      <c r="G188" s="1" t="str">
        <f>IF($A188="","",Anmeldung!$G44)</f>
        <v/>
      </c>
      <c r="H188" s="1" t="str">
        <f>IF($A188="","",Anmeldung!$J44)</f>
        <v/>
      </c>
      <c r="I188" s="1" t="str">
        <f>IF($A188="","",Anmeldung!$I44)</f>
        <v/>
      </c>
      <c r="J188" s="1" t="str">
        <f t="shared" si="1"/>
        <v/>
      </c>
    </row>
    <row r="189" spans="1:10" ht="14.25" customHeight="1" x14ac:dyDescent="0.3">
      <c r="A189" s="1" t="str">
        <f>IF(AND(Anmeldung!$D44&lt;&gt;"",Anmeldung!$W44="Ja"),"Bruchtest","")</f>
        <v/>
      </c>
      <c r="B189" s="1" t="str">
        <f>IF($A189="","",IF(YEAR(Anmeldung!$F44)&gt;=2009,"Bruchtest 16-17 Jahre / JG 2010-2009 / 1,0 cm",IF(YEAR(Anmeldung!$F44)&gt;=1986,"Bruchtest 18-40 Jahre / JG 2008-1986 / 1,5 cm","Bruchtest ab 41 Jahre / JG ab 1985 / 1,0 cm")))</f>
        <v/>
      </c>
      <c r="C189" s="1" t="str">
        <f t="shared" si="0"/>
        <v/>
      </c>
      <c r="D189" s="1" t="str">
        <f t="shared" ref="D189:D191" si="28">IF($A189="","","Einzel")</f>
        <v/>
      </c>
      <c r="E189" s="1" t="str">
        <f>IF($A189="","",Anmeldung!$E44&amp;" "&amp;Anmeldung!$D44)</f>
        <v/>
      </c>
      <c r="F189" s="1" t="str">
        <f>IF($A189="","",Anmeldung!$B44)</f>
        <v/>
      </c>
      <c r="G189" s="1" t="str">
        <f>IF($A189="","",Anmeldung!$G44)</f>
        <v/>
      </c>
      <c r="H189" s="1" t="str">
        <f>IF($A189="","",Anmeldung!$J44)</f>
        <v/>
      </c>
      <c r="I189" s="1" t="str">
        <f>IF($A189="","",Anmeldung!$I44)</f>
        <v/>
      </c>
      <c r="J189" s="1" t="str">
        <f t="shared" si="1"/>
        <v/>
      </c>
    </row>
    <row r="190" spans="1:10" ht="14.25" customHeight="1" x14ac:dyDescent="0.3">
      <c r="A190" s="1" t="str">
        <f>IF(AND(Anmeldung!$D44&lt;&gt;"",Anmeldung!$X44="Ja"),"Speed-Kicking","")</f>
        <v/>
      </c>
      <c r="B190" s="1" t="str">
        <f>IF($A190="","",Anmeldung!$G44)</f>
        <v/>
      </c>
      <c r="C190" s="1" t="str">
        <f t="shared" si="0"/>
        <v/>
      </c>
      <c r="D190" s="1" t="str">
        <f t="shared" si="28"/>
        <v/>
      </c>
      <c r="E190" s="1" t="str">
        <f>IF($A190="","",Anmeldung!$E44&amp;" "&amp;Anmeldung!$D44)</f>
        <v/>
      </c>
      <c r="F190" s="1" t="str">
        <f>IF($A190="","",Anmeldung!$B44)</f>
        <v/>
      </c>
      <c r="G190" s="1" t="str">
        <f>IF($A190="","",Anmeldung!$G44)</f>
        <v/>
      </c>
      <c r="H190" s="1" t="str">
        <f>IF($A190="","",Anmeldung!$J44)</f>
        <v/>
      </c>
      <c r="I190" s="1" t="str">
        <f>IF($A190="","",Anmeldung!$I44)</f>
        <v/>
      </c>
      <c r="J190" s="1" t="str">
        <f t="shared" si="1"/>
        <v/>
      </c>
    </row>
    <row r="191" spans="1:10" ht="14.25" customHeight="1" x14ac:dyDescent="0.3">
      <c r="A191" s="1" t="str">
        <f>IF(AND(Anmeldung!$D45&lt;&gt;"",Anmeldung!$K45="Ja"),"Poomsae Einzel","")</f>
        <v/>
      </c>
      <c r="B191" s="1" t="str">
        <f>IF($A191="","",Anmeldung!$G45&amp;" / "&amp;Anmeldung!$J45)</f>
        <v/>
      </c>
      <c r="C191" s="1" t="str">
        <f t="shared" si="0"/>
        <v/>
      </c>
      <c r="D191" s="1" t="str">
        <f t="shared" si="28"/>
        <v/>
      </c>
      <c r="E191" s="1" t="str">
        <f>IF($A191="","",Anmeldung!$E45&amp;" "&amp;Anmeldung!$D45)</f>
        <v/>
      </c>
      <c r="F191" s="1" t="str">
        <f>IF($A191="","",Anmeldung!$B45)</f>
        <v/>
      </c>
      <c r="G191" s="1" t="str">
        <f>IF($A191="","",Anmeldung!$G45)</f>
        <v/>
      </c>
      <c r="H191" s="1" t="str">
        <f>IF($A191="","",Anmeldung!$J45)</f>
        <v/>
      </c>
      <c r="I191" s="1" t="str">
        <f>IF($A191="","",Anmeldung!$I45)</f>
        <v/>
      </c>
      <c r="J191" s="1" t="str">
        <f t="shared" si="1"/>
        <v/>
      </c>
    </row>
    <row r="192" spans="1:10" ht="14.25" customHeight="1" x14ac:dyDescent="0.3">
      <c r="A192" s="1" t="str">
        <f>IF(AND(Anmeldung!$D45&lt;&gt;"",Anmeldung!$L45="Ja",IFERROR(VALUE(LEFT(Anmeldung!$M45,FIND(":",Anmeldung!$M45)-1)),0)&gt;0,Anmeldung!$B45=MIN(Anmeldung!$B45,IFERROR(VALUE(LEFT(Anmeldung!$M45,FIND(":",Anmeldung!$M45)-1)),0))),"Poomsae Paar","")</f>
        <v/>
      </c>
      <c r="B192" s="1" t="str">
        <f>IF($A192="","",Anmeldung!$G45&amp;" / "&amp;Anmeldung!$J45)</f>
        <v/>
      </c>
      <c r="C192" s="1" t="str">
        <f t="shared" si="0"/>
        <v/>
      </c>
      <c r="D192" s="1" t="str">
        <f>IF($A192="","","Paar")</f>
        <v/>
      </c>
      <c r="E192" s="1" t="str">
        <f t="array" ref="E192">IF($A192="","",Anmeldung!$E45&amp;" "&amp;Anmeldung!$D45&amp;" / "&amp;IF(IFERROR(VALUE(LEFT(Anmeldung!$M45,FIND(":",Anmeldung!$M45)-1)),0)=0,"",INDEX(Anmeldung!$E$18:$E$47,IFERROR(VALUE(LEFT(Anmeldung!$M45,FIND(":",Anmeldung!$M45)-1)),0))&amp;" "&amp;INDEX(Anmeldung!$D$18:$D$47,IFERROR(VALUE(LEFT(Anmeldung!$M45,FIND(":",Anmeldung!$M45)-1)),0))))</f>
        <v/>
      </c>
      <c r="F192" s="1" t="str">
        <f>IF($A192="","",Anmeldung!$B45&amp;", "&amp;IFERROR(VALUE(LEFT(Anmeldung!$M45,FIND(":",Anmeldung!$M45)-1)),0))</f>
        <v/>
      </c>
      <c r="G192" s="1" t="str">
        <f>IF($A192="","",Anmeldung!$G45)</f>
        <v/>
      </c>
      <c r="H192" s="1" t="str">
        <f>IF($A192="","",Anmeldung!$J45)</f>
        <v/>
      </c>
      <c r="I192" s="1" t="str">
        <f>IF($A192="","",Anmeldung!$I45)</f>
        <v/>
      </c>
      <c r="J192" s="1" t="str">
        <f t="shared" si="1"/>
        <v/>
      </c>
    </row>
    <row r="193" spans="1:10" ht="14.25" customHeight="1" x14ac:dyDescent="0.3">
      <c r="A193" s="1" t="str">
        <f>IF(AND(Anmeldung!$D45&lt;&gt;"",Anmeldung!$N45="Ja",IFERROR(VALUE(LEFT(Anmeldung!$O45,FIND(":",Anmeldung!$O45)-1)),0)&gt;0,IFERROR(VALUE(LEFT(Anmeldung!$P45,FIND(":",Anmeldung!$P45)-1)),0)&gt;0,Anmeldung!$B45=MIN(Anmeldung!$B45,IFERROR(VALUE(LEFT(Anmeldung!$O45,FIND(":",Anmeldung!$O45)-1)),0),IFERROR(VALUE(LEFT(Anmeldung!$P45,FIND(":",Anmeldung!$P45)-1)),0))),"Poomsae Team","")</f>
        <v/>
      </c>
      <c r="B193" s="1" t="str">
        <f>IF($A193="","",Anmeldung!$G45&amp;" / "&amp;Anmeldung!$J45)</f>
        <v/>
      </c>
      <c r="C193" s="1" t="str">
        <f t="shared" si="0"/>
        <v/>
      </c>
      <c r="D193" s="1" t="str">
        <f>IF($A193="","","Team")</f>
        <v/>
      </c>
      <c r="E193" s="1" t="str">
        <f t="array" ref="E193">IF($A193="","",Anmeldung!$E45&amp;" "&amp;Anmeldung!$D45&amp;" / "&amp;IF(IFERROR(VALUE(LEFT(Anmeldung!$O45,FIND(":",Anmeldung!$O45)-1)),0)=0,"",INDEX(Anmeldung!$E$18:$E$47,IFERROR(VALUE(LEFT(Anmeldung!$O45,FIND(":",Anmeldung!$O45)-1)),0))&amp;" "&amp;INDEX(Anmeldung!$D$18:$D$47,IFERROR(VALUE(LEFT(Anmeldung!$O45,FIND(":",Anmeldung!$O45)-1)),0)))&amp;" / "&amp;IF(IFERROR(VALUE(LEFT(Anmeldung!$P45,FIND(":",Anmeldung!$P45)-1)),0)=0,"",INDEX(Anmeldung!$E$18:$E$47,IFERROR(VALUE(LEFT(Anmeldung!$P45,FIND(":",Anmeldung!$P45)-1)),0))&amp;" "&amp;INDEX(Anmeldung!$D$18:$D$47,IFERROR(VALUE(LEFT(Anmeldung!$P45,FIND(":",Anmeldung!$P45)-1)),0))))</f>
        <v/>
      </c>
      <c r="F193" s="1" t="str">
        <f>IF($A193="","",Anmeldung!$B45&amp;", "&amp;IFERROR(VALUE(LEFT(Anmeldung!$O45,FIND(":",Anmeldung!$O45)-1)),0)&amp;", "&amp;IFERROR(VALUE(LEFT(Anmeldung!$P45,FIND(":",Anmeldung!$P45)-1)),0))</f>
        <v/>
      </c>
      <c r="G193" s="1" t="str">
        <f>IF($A193="","",Anmeldung!$G45)</f>
        <v/>
      </c>
      <c r="H193" s="1" t="str">
        <f>IF($A193="","",Anmeldung!$J45)</f>
        <v/>
      </c>
      <c r="I193" s="1" t="str">
        <f>IF($A193="","",Anmeldung!$I45)</f>
        <v/>
      </c>
      <c r="J193" s="1" t="str">
        <f t="shared" si="1"/>
        <v/>
      </c>
    </row>
    <row r="194" spans="1:10" ht="14.25" customHeight="1" x14ac:dyDescent="0.3">
      <c r="A194" s="1" t="str">
        <f>IF(AND(Anmeldung!$D45&lt;&gt;"",Anmeldung!$Q45="Ja",IFERROR(VALUE(LEFT(Anmeldung!$R45,FIND(":",Anmeldung!$R45)-1)),0)&gt;0,Anmeldung!$B45=MIN(Anmeldung!$B45,IFERROR(VALUE(LEFT(Anmeldung!$R45,FIND(":",Anmeldung!$R45)-1)),0),IF(IFERROR(VALUE(LEFT(Anmeldung!$S45,FIND(":",Anmeldung!$S45)-1)),0)=0,999,IFERROR(VALUE(LEFT(Anmeldung!$S45,FIND(":",Anmeldung!$S45)-1)),0)))),"Poomsae Family","")</f>
        <v/>
      </c>
      <c r="B194" s="1" t="str">
        <f>IF($A194="","","Poomsae Family / "&amp;Anmeldung!$T45)</f>
        <v/>
      </c>
      <c r="C194" s="1" t="str">
        <f t="shared" si="0"/>
        <v/>
      </c>
      <c r="D194" s="1" t="str">
        <f>IF($A194="","","Family")</f>
        <v/>
      </c>
      <c r="E194" s="1" t="str">
        <f t="array" ref="E194">IF($A194="","",Anmeldung!$E45&amp;" "&amp;Anmeldung!$D45&amp;" / "&amp;IF(IFERROR(VALUE(LEFT(Anmeldung!$R45,FIND(":",Anmeldung!$R45)-1)),0)=0,"",INDEX(Anmeldung!$E$18:$E$47,IFERROR(VALUE(LEFT(Anmeldung!$R45,FIND(":",Anmeldung!$R45)-1)),0))&amp;" "&amp;INDEX(Anmeldung!$D$18:$D$47,IFERROR(VALUE(LEFT(Anmeldung!$R45,FIND(":",Anmeldung!$R45)-1)),0)))&amp;IF(IFERROR(VALUE(LEFT(Anmeldung!$S45,FIND(":",Anmeldung!$S45)-1)),0)&gt;0," / "&amp;IF(IFERROR(VALUE(LEFT(Anmeldung!$S45,FIND(":",Anmeldung!$S45)-1)),0)=0,"",INDEX(Anmeldung!$E$18:$E$47,IFERROR(VALUE(LEFT(Anmeldung!$S45,FIND(":",Anmeldung!$S45)-1)),0))&amp;" "&amp;INDEX(Anmeldung!$D$18:$D$47,IFERROR(VALUE(LEFT(Anmeldung!$S45,FIND(":",Anmeldung!$S45)-1)),0))),""))</f>
        <v/>
      </c>
      <c r="F194" s="1" t="str">
        <f>IF($A194="","",Anmeldung!$B45&amp;", "&amp;IFERROR(VALUE(LEFT(Anmeldung!$R45,FIND(":",Anmeldung!$R45)-1)),0)&amp;IF(IFERROR(VALUE(LEFT(Anmeldung!$S45,FIND(":",Anmeldung!$S45)-1)),0)&gt;0,", "&amp;IFERROR(VALUE(LEFT(Anmeldung!$S45,FIND(":",Anmeldung!$S45)-1)),0),""))</f>
        <v/>
      </c>
      <c r="G194" s="1" t="str">
        <f>IF($A194="","","-")</f>
        <v/>
      </c>
      <c r="H194" s="1" t="str">
        <f>IF($A194="","",Anmeldung!$T45)</f>
        <v/>
      </c>
      <c r="I194" s="1" t="str">
        <f>IF($A194="","","niedrigste Graduierung")</f>
        <v/>
      </c>
      <c r="J194" s="1" t="str">
        <f t="shared" si="1"/>
        <v/>
      </c>
    </row>
    <row r="195" spans="1:10" ht="14.25" customHeight="1" x14ac:dyDescent="0.3">
      <c r="A195" s="1" t="str">
        <f>IF(AND(Anmeldung!$D45&lt;&gt;"",Anmeldung!$U45="Ja",IFERROR(VALUE(LEFT(Anmeldung!$V45,FIND(":",Anmeldung!$V45)-1)),0)&gt;0,Anmeldung!$B45=MIN(Anmeldung!$B45,IFERROR(VALUE(LEFT(Anmeldung!$V45,FIND(":",Anmeldung!$V45)-1)),0))),"Einschrittkampf","")</f>
        <v/>
      </c>
      <c r="B195" s="1" t="str">
        <f>IF($A195="","",Anmeldung!$G45&amp;" / "&amp;Anmeldung!$J45)</f>
        <v/>
      </c>
      <c r="C195" s="1" t="str">
        <f t="shared" si="0"/>
        <v/>
      </c>
      <c r="D195" s="1" t="str">
        <f>IF($A195="","","Paar")</f>
        <v/>
      </c>
      <c r="E195" s="1" t="str">
        <f t="array" ref="E195">IF($A195="","",Anmeldung!$E45&amp;" "&amp;Anmeldung!$D45&amp;" / "&amp;IF(IFERROR(VALUE(LEFT(Anmeldung!$V45,FIND(":",Anmeldung!$V45)-1)),0)=0,"",INDEX(Anmeldung!$E$18:$E$47,IFERROR(VALUE(LEFT(Anmeldung!$V45,FIND(":",Anmeldung!$V45)-1)),0))&amp;" "&amp;INDEX(Anmeldung!$D$18:$D$47,IFERROR(VALUE(LEFT(Anmeldung!$V45,FIND(":",Anmeldung!$V45)-1)),0))))</f>
        <v/>
      </c>
      <c r="F195" s="1" t="str">
        <f>IF($A195="","",Anmeldung!$B45&amp;", "&amp;IFERROR(VALUE(LEFT(Anmeldung!$V45,FIND(":",Anmeldung!$V45)-1)),0))</f>
        <v/>
      </c>
      <c r="G195" s="1" t="str">
        <f>IF($A195="","",Anmeldung!$G45)</f>
        <v/>
      </c>
      <c r="H195" s="1" t="str">
        <f>IF($A195="","",Anmeldung!$J45)</f>
        <v/>
      </c>
      <c r="I195" s="1" t="str">
        <f>IF($A195="","",Anmeldung!$I45)</f>
        <v/>
      </c>
      <c r="J195" s="1" t="str">
        <f t="shared" si="1"/>
        <v/>
      </c>
    </row>
    <row r="196" spans="1:10" ht="14.25" customHeight="1" x14ac:dyDescent="0.3">
      <c r="A196" s="1" t="str">
        <f>IF(AND(Anmeldung!$D45&lt;&gt;"",Anmeldung!$W45="Ja"),"Bruchtest","")</f>
        <v/>
      </c>
      <c r="B196" s="1" t="str">
        <f>IF($A196="","",IF(YEAR(Anmeldung!$F45)&gt;=2009,"Bruchtest 16-17 Jahre / JG 2010-2009 / 1,0 cm",IF(YEAR(Anmeldung!$F45)&gt;=1986,"Bruchtest 18-40 Jahre / JG 2008-1986 / 1,5 cm","Bruchtest ab 41 Jahre / JG ab 1985 / 1,0 cm")))</f>
        <v/>
      </c>
      <c r="C196" s="1" t="str">
        <f t="shared" si="0"/>
        <v/>
      </c>
      <c r="D196" s="1" t="str">
        <f t="shared" ref="D196:D198" si="29">IF($A196="","","Einzel")</f>
        <v/>
      </c>
      <c r="E196" s="1" t="str">
        <f>IF($A196="","",Anmeldung!$E45&amp;" "&amp;Anmeldung!$D45)</f>
        <v/>
      </c>
      <c r="F196" s="1" t="str">
        <f>IF($A196="","",Anmeldung!$B45)</f>
        <v/>
      </c>
      <c r="G196" s="1" t="str">
        <f>IF($A196="","",Anmeldung!$G45)</f>
        <v/>
      </c>
      <c r="H196" s="1" t="str">
        <f>IF($A196="","",Anmeldung!$J45)</f>
        <v/>
      </c>
      <c r="I196" s="1" t="str">
        <f>IF($A196="","",Anmeldung!$I45)</f>
        <v/>
      </c>
      <c r="J196" s="1" t="str">
        <f t="shared" si="1"/>
        <v/>
      </c>
    </row>
    <row r="197" spans="1:10" ht="14.25" customHeight="1" x14ac:dyDescent="0.3">
      <c r="A197" s="1" t="str">
        <f>IF(AND(Anmeldung!$D45&lt;&gt;"",Anmeldung!$X45="Ja"),"Speed-Kicking","")</f>
        <v/>
      </c>
      <c r="B197" s="1" t="str">
        <f>IF($A197="","",Anmeldung!$G45)</f>
        <v/>
      </c>
      <c r="C197" s="1" t="str">
        <f t="shared" si="0"/>
        <v/>
      </c>
      <c r="D197" s="1" t="str">
        <f t="shared" si="29"/>
        <v/>
      </c>
      <c r="E197" s="1" t="str">
        <f>IF($A197="","",Anmeldung!$E45&amp;" "&amp;Anmeldung!$D45)</f>
        <v/>
      </c>
      <c r="F197" s="1" t="str">
        <f>IF($A197="","",Anmeldung!$B45)</f>
        <v/>
      </c>
      <c r="G197" s="1" t="str">
        <f>IF($A197="","",Anmeldung!$G45)</f>
        <v/>
      </c>
      <c r="H197" s="1" t="str">
        <f>IF($A197="","",Anmeldung!$J45)</f>
        <v/>
      </c>
      <c r="I197" s="1" t="str">
        <f>IF($A197="","",Anmeldung!$I45)</f>
        <v/>
      </c>
      <c r="J197" s="1" t="str">
        <f t="shared" si="1"/>
        <v/>
      </c>
    </row>
    <row r="198" spans="1:10" ht="14.25" customHeight="1" x14ac:dyDescent="0.3">
      <c r="A198" s="1" t="str">
        <f>IF(AND(Anmeldung!$D46&lt;&gt;"",Anmeldung!$K46="Ja"),"Poomsae Einzel","")</f>
        <v/>
      </c>
      <c r="B198" s="1" t="str">
        <f>IF($A198="","",Anmeldung!$G46&amp;" / "&amp;Anmeldung!$J46)</f>
        <v/>
      </c>
      <c r="C198" s="1" t="str">
        <f t="shared" si="0"/>
        <v/>
      </c>
      <c r="D198" s="1" t="str">
        <f t="shared" si="29"/>
        <v/>
      </c>
      <c r="E198" s="1" t="str">
        <f>IF($A198="","",Anmeldung!$E46&amp;" "&amp;Anmeldung!$D46)</f>
        <v/>
      </c>
      <c r="F198" s="1" t="str">
        <f>IF($A198="","",Anmeldung!$B46)</f>
        <v/>
      </c>
      <c r="G198" s="1" t="str">
        <f>IF($A198="","",Anmeldung!$G46)</f>
        <v/>
      </c>
      <c r="H198" s="1" t="str">
        <f>IF($A198="","",Anmeldung!$J46)</f>
        <v/>
      </c>
      <c r="I198" s="1" t="str">
        <f>IF($A198="","",Anmeldung!$I46)</f>
        <v/>
      </c>
      <c r="J198" s="1" t="str">
        <f t="shared" si="1"/>
        <v/>
      </c>
    </row>
    <row r="199" spans="1:10" ht="14.25" customHeight="1" x14ac:dyDescent="0.3">
      <c r="A199" s="1" t="str">
        <f>IF(AND(Anmeldung!$D46&lt;&gt;"",Anmeldung!$L46="Ja",IFERROR(VALUE(LEFT(Anmeldung!$M46,FIND(":",Anmeldung!$M46)-1)),0)&gt;0,Anmeldung!$B46=MIN(Anmeldung!$B46,IFERROR(VALUE(LEFT(Anmeldung!$M46,FIND(":",Anmeldung!$M46)-1)),0))),"Poomsae Paar","")</f>
        <v/>
      </c>
      <c r="B199" s="1" t="str">
        <f>IF($A199="","",Anmeldung!$G46&amp;" / "&amp;Anmeldung!$J46)</f>
        <v/>
      </c>
      <c r="C199" s="1" t="str">
        <f t="shared" si="0"/>
        <v/>
      </c>
      <c r="D199" s="1" t="str">
        <f>IF($A199="","","Paar")</f>
        <v/>
      </c>
      <c r="E199" s="1" t="str">
        <f t="array" ref="E199">IF($A199="","",Anmeldung!$E46&amp;" "&amp;Anmeldung!$D46&amp;" / "&amp;IF(IFERROR(VALUE(LEFT(Anmeldung!$M46,FIND(":",Anmeldung!$M46)-1)),0)=0,"",INDEX(Anmeldung!$E$18:$E$47,IFERROR(VALUE(LEFT(Anmeldung!$M46,FIND(":",Anmeldung!$M46)-1)),0))&amp;" "&amp;INDEX(Anmeldung!$D$18:$D$47,IFERROR(VALUE(LEFT(Anmeldung!$M46,FIND(":",Anmeldung!$M46)-1)),0))))</f>
        <v/>
      </c>
      <c r="F199" s="1" t="str">
        <f>IF($A199="","",Anmeldung!$B46&amp;", "&amp;IFERROR(VALUE(LEFT(Anmeldung!$M46,FIND(":",Anmeldung!$M46)-1)),0))</f>
        <v/>
      </c>
      <c r="G199" s="1" t="str">
        <f>IF($A199="","",Anmeldung!$G46)</f>
        <v/>
      </c>
      <c r="H199" s="1" t="str">
        <f>IF($A199="","",Anmeldung!$J46)</f>
        <v/>
      </c>
      <c r="I199" s="1" t="str">
        <f>IF($A199="","",Anmeldung!$I46)</f>
        <v/>
      </c>
      <c r="J199" s="1" t="str">
        <f t="shared" si="1"/>
        <v/>
      </c>
    </row>
    <row r="200" spans="1:10" ht="14.25" customHeight="1" x14ac:dyDescent="0.3">
      <c r="A200" s="1" t="str">
        <f>IF(AND(Anmeldung!$D46&lt;&gt;"",Anmeldung!$N46="Ja",IFERROR(VALUE(LEFT(Anmeldung!$O46,FIND(":",Anmeldung!$O46)-1)),0)&gt;0,IFERROR(VALUE(LEFT(Anmeldung!$P46,FIND(":",Anmeldung!$P46)-1)),0)&gt;0,Anmeldung!$B46=MIN(Anmeldung!$B46,IFERROR(VALUE(LEFT(Anmeldung!$O46,FIND(":",Anmeldung!$O46)-1)),0),IFERROR(VALUE(LEFT(Anmeldung!$P46,FIND(":",Anmeldung!$P46)-1)),0))),"Poomsae Team","")</f>
        <v/>
      </c>
      <c r="B200" s="1" t="str">
        <f>IF($A200="","",Anmeldung!$G46&amp;" / "&amp;Anmeldung!$J46)</f>
        <v/>
      </c>
      <c r="C200" s="1" t="str">
        <f t="shared" si="0"/>
        <v/>
      </c>
      <c r="D200" s="1" t="str">
        <f>IF($A200="","","Team")</f>
        <v/>
      </c>
      <c r="E200" s="1" t="str">
        <f t="array" ref="E200">IF($A200="","",Anmeldung!$E46&amp;" "&amp;Anmeldung!$D46&amp;" / "&amp;IF(IFERROR(VALUE(LEFT(Anmeldung!$O46,FIND(":",Anmeldung!$O46)-1)),0)=0,"",INDEX(Anmeldung!$E$18:$E$47,IFERROR(VALUE(LEFT(Anmeldung!$O46,FIND(":",Anmeldung!$O46)-1)),0))&amp;" "&amp;INDEX(Anmeldung!$D$18:$D$47,IFERROR(VALUE(LEFT(Anmeldung!$O46,FIND(":",Anmeldung!$O46)-1)),0)))&amp;" / "&amp;IF(IFERROR(VALUE(LEFT(Anmeldung!$P46,FIND(":",Anmeldung!$P46)-1)),0)=0,"",INDEX(Anmeldung!$E$18:$E$47,IFERROR(VALUE(LEFT(Anmeldung!$P46,FIND(":",Anmeldung!$P46)-1)),0))&amp;" "&amp;INDEX(Anmeldung!$D$18:$D$47,IFERROR(VALUE(LEFT(Anmeldung!$P46,FIND(":",Anmeldung!$P46)-1)),0))))</f>
        <v/>
      </c>
      <c r="F200" s="1" t="str">
        <f>IF($A200="","",Anmeldung!$B46&amp;", "&amp;IFERROR(VALUE(LEFT(Anmeldung!$O46,FIND(":",Anmeldung!$O46)-1)),0)&amp;", "&amp;IFERROR(VALUE(LEFT(Anmeldung!$P46,FIND(":",Anmeldung!$P46)-1)),0))</f>
        <v/>
      </c>
      <c r="G200" s="1" t="str">
        <f>IF($A200="","",Anmeldung!$G46)</f>
        <v/>
      </c>
      <c r="H200" s="1" t="str">
        <f>IF($A200="","",Anmeldung!$J46)</f>
        <v/>
      </c>
      <c r="I200" s="1" t="str">
        <f>IF($A200="","",Anmeldung!$I46)</f>
        <v/>
      </c>
      <c r="J200" s="1" t="str">
        <f t="shared" si="1"/>
        <v/>
      </c>
    </row>
    <row r="201" spans="1:10" ht="14.25" customHeight="1" x14ac:dyDescent="0.3">
      <c r="A201" s="1" t="str">
        <f>IF(AND(Anmeldung!$D46&lt;&gt;"",Anmeldung!$Q46="Ja",IFERROR(VALUE(LEFT(Anmeldung!$R46,FIND(":",Anmeldung!$R46)-1)),0)&gt;0,Anmeldung!$B46=MIN(Anmeldung!$B46,IFERROR(VALUE(LEFT(Anmeldung!$R46,FIND(":",Anmeldung!$R46)-1)),0),IF(IFERROR(VALUE(LEFT(Anmeldung!$S46,FIND(":",Anmeldung!$S46)-1)),0)=0,999,IFERROR(VALUE(LEFT(Anmeldung!$S46,FIND(":",Anmeldung!$S46)-1)),0)))),"Poomsae Family","")</f>
        <v/>
      </c>
      <c r="B201" s="1" t="str">
        <f>IF($A201="","","Poomsae Family / "&amp;Anmeldung!$T46)</f>
        <v/>
      </c>
      <c r="C201" s="1" t="str">
        <f t="shared" si="0"/>
        <v/>
      </c>
      <c r="D201" s="1" t="str">
        <f>IF($A201="","","Family")</f>
        <v/>
      </c>
      <c r="E201" s="1" t="str">
        <f t="array" ref="E201">IF($A201="","",Anmeldung!$E46&amp;" "&amp;Anmeldung!$D46&amp;" / "&amp;IF(IFERROR(VALUE(LEFT(Anmeldung!$R46,FIND(":",Anmeldung!$R46)-1)),0)=0,"",INDEX(Anmeldung!$E$18:$E$47,IFERROR(VALUE(LEFT(Anmeldung!$R46,FIND(":",Anmeldung!$R46)-1)),0))&amp;" "&amp;INDEX(Anmeldung!$D$18:$D$47,IFERROR(VALUE(LEFT(Anmeldung!$R46,FIND(":",Anmeldung!$R46)-1)),0)))&amp;IF(IFERROR(VALUE(LEFT(Anmeldung!$S46,FIND(":",Anmeldung!$S46)-1)),0)&gt;0," / "&amp;IF(IFERROR(VALUE(LEFT(Anmeldung!$S46,FIND(":",Anmeldung!$S46)-1)),0)=0,"",INDEX(Anmeldung!$E$18:$E$47,IFERROR(VALUE(LEFT(Anmeldung!$S46,FIND(":",Anmeldung!$S46)-1)),0))&amp;" "&amp;INDEX(Anmeldung!$D$18:$D$47,IFERROR(VALUE(LEFT(Anmeldung!$S46,FIND(":",Anmeldung!$S46)-1)),0))),""))</f>
        <v/>
      </c>
      <c r="F201" s="1" t="str">
        <f>IF($A201="","",Anmeldung!$B46&amp;", "&amp;IFERROR(VALUE(LEFT(Anmeldung!$R46,FIND(":",Anmeldung!$R46)-1)),0)&amp;IF(IFERROR(VALUE(LEFT(Anmeldung!$S46,FIND(":",Anmeldung!$S46)-1)),0)&gt;0,", "&amp;IFERROR(VALUE(LEFT(Anmeldung!$S46,FIND(":",Anmeldung!$S46)-1)),0),""))</f>
        <v/>
      </c>
      <c r="G201" s="1" t="str">
        <f>IF($A201="","","-")</f>
        <v/>
      </c>
      <c r="H201" s="1" t="str">
        <f>IF($A201="","",Anmeldung!$T46)</f>
        <v/>
      </c>
      <c r="I201" s="1" t="str">
        <f>IF($A201="","","niedrigste Graduierung")</f>
        <v/>
      </c>
      <c r="J201" s="1" t="str">
        <f t="shared" si="1"/>
        <v/>
      </c>
    </row>
    <row r="202" spans="1:10" ht="14.25" customHeight="1" x14ac:dyDescent="0.3">
      <c r="A202" s="1" t="str">
        <f>IF(AND(Anmeldung!$D46&lt;&gt;"",Anmeldung!$U46="Ja",IFERROR(VALUE(LEFT(Anmeldung!$V46,FIND(":",Anmeldung!$V46)-1)),0)&gt;0,Anmeldung!$B46=MIN(Anmeldung!$B46,IFERROR(VALUE(LEFT(Anmeldung!$V46,FIND(":",Anmeldung!$V46)-1)),0))),"Einschrittkampf","")</f>
        <v/>
      </c>
      <c r="B202" s="1" t="str">
        <f>IF($A202="","",Anmeldung!$G46&amp;" / "&amp;Anmeldung!$J46)</f>
        <v/>
      </c>
      <c r="C202" s="1" t="str">
        <f t="shared" si="0"/>
        <v/>
      </c>
      <c r="D202" s="1" t="str">
        <f>IF($A202="","","Paar")</f>
        <v/>
      </c>
      <c r="E202" s="1" t="str">
        <f t="array" ref="E202">IF($A202="","",Anmeldung!$E46&amp;" "&amp;Anmeldung!$D46&amp;" / "&amp;IF(IFERROR(VALUE(LEFT(Anmeldung!$V46,FIND(":",Anmeldung!$V46)-1)),0)=0,"",INDEX(Anmeldung!$E$18:$E$47,IFERROR(VALUE(LEFT(Anmeldung!$V46,FIND(":",Anmeldung!$V46)-1)),0))&amp;" "&amp;INDEX(Anmeldung!$D$18:$D$47,IFERROR(VALUE(LEFT(Anmeldung!$V46,FIND(":",Anmeldung!$V46)-1)),0))))</f>
        <v/>
      </c>
      <c r="F202" s="1" t="str">
        <f>IF($A202="","",Anmeldung!$B46&amp;", "&amp;IFERROR(VALUE(LEFT(Anmeldung!$V46,FIND(":",Anmeldung!$V46)-1)),0))</f>
        <v/>
      </c>
      <c r="G202" s="1" t="str">
        <f>IF($A202="","",Anmeldung!$G46)</f>
        <v/>
      </c>
      <c r="H202" s="1" t="str">
        <f>IF($A202="","",Anmeldung!$J46)</f>
        <v/>
      </c>
      <c r="I202" s="1" t="str">
        <f>IF($A202="","",Anmeldung!$I46)</f>
        <v/>
      </c>
      <c r="J202" s="1" t="str">
        <f t="shared" si="1"/>
        <v/>
      </c>
    </row>
    <row r="203" spans="1:10" ht="14.25" customHeight="1" x14ac:dyDescent="0.3">
      <c r="A203" s="1" t="str">
        <f>IF(AND(Anmeldung!$D46&lt;&gt;"",Anmeldung!$W46="Ja"),"Bruchtest","")</f>
        <v/>
      </c>
      <c r="B203" s="1" t="str">
        <f>IF($A203="","",IF(YEAR(Anmeldung!$F46)&gt;=2009,"Bruchtest 16-17 Jahre / JG 2010-2009 / 1,0 cm",IF(YEAR(Anmeldung!$F46)&gt;=1986,"Bruchtest 18-40 Jahre / JG 2008-1986 / 1,5 cm","Bruchtest ab 41 Jahre / JG ab 1985 / 1,0 cm")))</f>
        <v/>
      </c>
      <c r="C203" s="1" t="str">
        <f t="shared" si="0"/>
        <v/>
      </c>
      <c r="D203" s="1" t="str">
        <f t="shared" ref="D203:D205" si="30">IF($A203="","","Einzel")</f>
        <v/>
      </c>
      <c r="E203" s="1" t="str">
        <f>IF($A203="","",Anmeldung!$E46&amp;" "&amp;Anmeldung!$D46)</f>
        <v/>
      </c>
      <c r="F203" s="1" t="str">
        <f>IF($A203="","",Anmeldung!$B46)</f>
        <v/>
      </c>
      <c r="G203" s="1" t="str">
        <f>IF($A203="","",Anmeldung!$G46)</f>
        <v/>
      </c>
      <c r="H203" s="1" t="str">
        <f>IF($A203="","",Anmeldung!$J46)</f>
        <v/>
      </c>
      <c r="I203" s="1" t="str">
        <f>IF($A203="","",Anmeldung!$I46)</f>
        <v/>
      </c>
      <c r="J203" s="1" t="str">
        <f t="shared" si="1"/>
        <v/>
      </c>
    </row>
    <row r="204" spans="1:10" ht="14.25" customHeight="1" x14ac:dyDescent="0.3">
      <c r="A204" s="1" t="str">
        <f>IF(AND(Anmeldung!$D46&lt;&gt;"",Anmeldung!$X46="Ja"),"Speed-Kicking","")</f>
        <v/>
      </c>
      <c r="B204" s="1" t="str">
        <f>IF($A204="","",Anmeldung!$G46)</f>
        <v/>
      </c>
      <c r="C204" s="1" t="str">
        <f t="shared" si="0"/>
        <v/>
      </c>
      <c r="D204" s="1" t="str">
        <f t="shared" si="30"/>
        <v/>
      </c>
      <c r="E204" s="1" t="str">
        <f>IF($A204="","",Anmeldung!$E46&amp;" "&amp;Anmeldung!$D46)</f>
        <v/>
      </c>
      <c r="F204" s="1" t="str">
        <f>IF($A204="","",Anmeldung!$B46)</f>
        <v/>
      </c>
      <c r="G204" s="1" t="str">
        <f>IF($A204="","",Anmeldung!$G46)</f>
        <v/>
      </c>
      <c r="H204" s="1" t="str">
        <f>IF($A204="","",Anmeldung!$J46)</f>
        <v/>
      </c>
      <c r="I204" s="1" t="str">
        <f>IF($A204="","",Anmeldung!$I46)</f>
        <v/>
      </c>
      <c r="J204" s="1" t="str">
        <f t="shared" si="1"/>
        <v/>
      </c>
    </row>
    <row r="205" spans="1:10" ht="14.25" customHeight="1" x14ac:dyDescent="0.3">
      <c r="A205" s="1" t="str">
        <f>IF(AND(Anmeldung!$D47&lt;&gt;"",Anmeldung!$K47="Ja"),"Poomsae Einzel","")</f>
        <v/>
      </c>
      <c r="B205" s="1" t="str">
        <f>IF($A205="","",Anmeldung!$G47&amp;" / "&amp;Anmeldung!$J47)</f>
        <v/>
      </c>
      <c r="C205" s="1" t="str">
        <f t="shared" si="0"/>
        <v/>
      </c>
      <c r="D205" s="1" t="str">
        <f t="shared" si="30"/>
        <v/>
      </c>
      <c r="E205" s="1" t="str">
        <f>IF($A205="","",Anmeldung!$E47&amp;" "&amp;Anmeldung!$D47)</f>
        <v/>
      </c>
      <c r="F205" s="1" t="str">
        <f>IF($A205="","",Anmeldung!$B47)</f>
        <v/>
      </c>
      <c r="G205" s="1" t="str">
        <f>IF($A205="","",Anmeldung!$G47)</f>
        <v/>
      </c>
      <c r="H205" s="1" t="str">
        <f>IF($A205="","",Anmeldung!$J47)</f>
        <v/>
      </c>
      <c r="I205" s="1" t="str">
        <f>IF($A205="","",Anmeldung!$I47)</f>
        <v/>
      </c>
      <c r="J205" s="1" t="str">
        <f t="shared" si="1"/>
        <v/>
      </c>
    </row>
    <row r="206" spans="1:10" ht="14.25" customHeight="1" x14ac:dyDescent="0.3">
      <c r="A206" s="1" t="str">
        <f>IF(AND(Anmeldung!$D47&lt;&gt;"",Anmeldung!$L47="Ja",IFERROR(VALUE(LEFT(Anmeldung!$M47,FIND(":",Anmeldung!$M47)-1)),0)&gt;0,Anmeldung!$B47=MIN(Anmeldung!$B47,IFERROR(VALUE(LEFT(Anmeldung!$M47,FIND(":",Anmeldung!$M47)-1)),0))),"Poomsae Paar","")</f>
        <v/>
      </c>
      <c r="B206" s="1" t="str">
        <f>IF($A206="","",Anmeldung!$G47&amp;" / "&amp;Anmeldung!$J47)</f>
        <v/>
      </c>
      <c r="C206" s="1" t="str">
        <f t="shared" si="0"/>
        <v/>
      </c>
      <c r="D206" s="1" t="str">
        <f>IF($A206="","","Paar")</f>
        <v/>
      </c>
      <c r="E206" s="1" t="str">
        <f t="array" ref="E206">IF($A206="","",Anmeldung!$E47&amp;" "&amp;Anmeldung!$D47&amp;" / "&amp;IF(IFERROR(VALUE(LEFT(Anmeldung!$M47,FIND(":",Anmeldung!$M47)-1)),0)=0,"",INDEX(Anmeldung!$E$18:$E$47,IFERROR(VALUE(LEFT(Anmeldung!$M47,FIND(":",Anmeldung!$M47)-1)),0))&amp;" "&amp;INDEX(Anmeldung!$D$18:$D$47,IFERROR(VALUE(LEFT(Anmeldung!$M47,FIND(":",Anmeldung!$M47)-1)),0))))</f>
        <v/>
      </c>
      <c r="F206" s="1" t="str">
        <f>IF($A206="","",Anmeldung!$B47&amp;", "&amp;IFERROR(VALUE(LEFT(Anmeldung!$M47,FIND(":",Anmeldung!$M47)-1)),0))</f>
        <v/>
      </c>
      <c r="G206" s="1" t="str">
        <f>IF($A206="","",Anmeldung!$G47)</f>
        <v/>
      </c>
      <c r="H206" s="1" t="str">
        <f>IF($A206="","",Anmeldung!$J47)</f>
        <v/>
      </c>
      <c r="I206" s="1" t="str">
        <f>IF($A206="","",Anmeldung!$I47)</f>
        <v/>
      </c>
      <c r="J206" s="1" t="str">
        <f t="shared" si="1"/>
        <v/>
      </c>
    </row>
    <row r="207" spans="1:10" ht="14.25" customHeight="1" x14ac:dyDescent="0.3">
      <c r="A207" s="1" t="str">
        <f>IF(AND(Anmeldung!$D47&lt;&gt;"",Anmeldung!$N47="Ja",IFERROR(VALUE(LEFT(Anmeldung!$O47,FIND(":",Anmeldung!$O47)-1)),0)&gt;0,IFERROR(VALUE(LEFT(Anmeldung!$P47,FIND(":",Anmeldung!$P47)-1)),0)&gt;0,Anmeldung!$B47=MIN(Anmeldung!$B47,IFERROR(VALUE(LEFT(Anmeldung!$O47,FIND(":",Anmeldung!$O47)-1)),0),IFERROR(VALUE(LEFT(Anmeldung!$P47,FIND(":",Anmeldung!$P47)-1)),0))),"Poomsae Team","")</f>
        <v/>
      </c>
      <c r="B207" s="1" t="str">
        <f>IF($A207="","",Anmeldung!$G47&amp;" / "&amp;Anmeldung!$J47)</f>
        <v/>
      </c>
      <c r="C207" s="1" t="str">
        <f t="shared" si="0"/>
        <v/>
      </c>
      <c r="D207" s="1" t="str">
        <f>IF($A207="","","Team")</f>
        <v/>
      </c>
      <c r="E207" s="1" t="str">
        <f t="array" ref="E207">IF($A207="","",Anmeldung!$E47&amp;" "&amp;Anmeldung!$D47&amp;" / "&amp;IF(IFERROR(VALUE(LEFT(Anmeldung!$O47,FIND(":",Anmeldung!$O47)-1)),0)=0,"",INDEX(Anmeldung!$E$18:$E$47,IFERROR(VALUE(LEFT(Anmeldung!$O47,FIND(":",Anmeldung!$O47)-1)),0))&amp;" "&amp;INDEX(Anmeldung!$D$18:$D$47,IFERROR(VALUE(LEFT(Anmeldung!$O47,FIND(":",Anmeldung!$O47)-1)),0)))&amp;" / "&amp;IF(IFERROR(VALUE(LEFT(Anmeldung!$P47,FIND(":",Anmeldung!$P47)-1)),0)=0,"",INDEX(Anmeldung!$E$18:$E$47,IFERROR(VALUE(LEFT(Anmeldung!$P47,FIND(":",Anmeldung!$P47)-1)),0))&amp;" "&amp;INDEX(Anmeldung!$D$18:$D$47,IFERROR(VALUE(LEFT(Anmeldung!$P47,FIND(":",Anmeldung!$P47)-1)),0))))</f>
        <v/>
      </c>
      <c r="F207" s="1" t="str">
        <f>IF($A207="","",Anmeldung!$B47&amp;", "&amp;IFERROR(VALUE(LEFT(Anmeldung!$O47,FIND(":",Anmeldung!$O47)-1)),0)&amp;", "&amp;IFERROR(VALUE(LEFT(Anmeldung!$P47,FIND(":",Anmeldung!$P47)-1)),0))</f>
        <v/>
      </c>
      <c r="G207" s="1" t="str">
        <f>IF($A207="","",Anmeldung!$G47)</f>
        <v/>
      </c>
      <c r="H207" s="1" t="str">
        <f>IF($A207="","",Anmeldung!$J47)</f>
        <v/>
      </c>
      <c r="I207" s="1" t="str">
        <f>IF($A207="","",Anmeldung!$I47)</f>
        <v/>
      </c>
      <c r="J207" s="1" t="str">
        <f t="shared" si="1"/>
        <v/>
      </c>
    </row>
    <row r="208" spans="1:10" ht="14.25" customHeight="1" x14ac:dyDescent="0.3">
      <c r="A208" s="1" t="str">
        <f>IF(AND(Anmeldung!$D47&lt;&gt;"",Anmeldung!$Q47="Ja",IFERROR(VALUE(LEFT(Anmeldung!$R47,FIND(":",Anmeldung!$R47)-1)),0)&gt;0,Anmeldung!$B47=MIN(Anmeldung!$B47,IFERROR(VALUE(LEFT(Anmeldung!$R47,FIND(":",Anmeldung!$R47)-1)),0),IF(IFERROR(VALUE(LEFT(Anmeldung!$S47,FIND(":",Anmeldung!$S47)-1)),0)=0,999,IFERROR(VALUE(LEFT(Anmeldung!$S47,FIND(":",Anmeldung!$S47)-1)),0)))),"Poomsae Family","")</f>
        <v/>
      </c>
      <c r="B208" s="1" t="str">
        <f>IF($A208="","","Poomsae Family / "&amp;Anmeldung!$T47)</f>
        <v/>
      </c>
      <c r="C208" s="1" t="str">
        <f t="shared" si="0"/>
        <v/>
      </c>
      <c r="D208" s="1" t="str">
        <f>IF($A208="","","Family")</f>
        <v/>
      </c>
      <c r="E208" s="1" t="str">
        <f t="array" ref="E208">IF($A208="","",Anmeldung!$E47&amp;" "&amp;Anmeldung!$D47&amp;" / "&amp;IF(IFERROR(VALUE(LEFT(Anmeldung!$R47,FIND(":",Anmeldung!$R47)-1)),0)=0,"",INDEX(Anmeldung!$E$18:$E$47,IFERROR(VALUE(LEFT(Anmeldung!$R47,FIND(":",Anmeldung!$R47)-1)),0))&amp;" "&amp;INDEX(Anmeldung!$D$18:$D$47,IFERROR(VALUE(LEFT(Anmeldung!$R47,FIND(":",Anmeldung!$R47)-1)),0)))&amp;IF(IFERROR(VALUE(LEFT(Anmeldung!$S47,FIND(":",Anmeldung!$S47)-1)),0)&gt;0," / "&amp;IF(IFERROR(VALUE(LEFT(Anmeldung!$S47,FIND(":",Anmeldung!$S47)-1)),0)=0,"",INDEX(Anmeldung!$E$18:$E$47,IFERROR(VALUE(LEFT(Anmeldung!$S47,FIND(":",Anmeldung!$S47)-1)),0))&amp;" "&amp;INDEX(Anmeldung!$D$18:$D$47,IFERROR(VALUE(LEFT(Anmeldung!$S47,FIND(":",Anmeldung!$S47)-1)),0))),""))</f>
        <v/>
      </c>
      <c r="F208" s="1" t="str">
        <f>IF($A208="","",Anmeldung!$B47&amp;", "&amp;IFERROR(VALUE(LEFT(Anmeldung!$R47,FIND(":",Anmeldung!$R47)-1)),0)&amp;IF(IFERROR(VALUE(LEFT(Anmeldung!$S47,FIND(":",Anmeldung!$S47)-1)),0)&gt;0,", "&amp;IFERROR(VALUE(LEFT(Anmeldung!$S47,FIND(":",Anmeldung!$S47)-1)),0),""))</f>
        <v/>
      </c>
      <c r="G208" s="1" t="str">
        <f>IF($A208="","","-")</f>
        <v/>
      </c>
      <c r="H208" s="1" t="str">
        <f>IF($A208="","",Anmeldung!$T47)</f>
        <v/>
      </c>
      <c r="I208" s="1" t="str">
        <f>IF($A208="","","niedrigste Graduierung")</f>
        <v/>
      </c>
      <c r="J208" s="1" t="str">
        <f t="shared" si="1"/>
        <v/>
      </c>
    </row>
    <row r="209" spans="1:10" ht="14.25" customHeight="1" x14ac:dyDescent="0.3">
      <c r="A209" s="1" t="str">
        <f>IF(AND(Anmeldung!$D47&lt;&gt;"",Anmeldung!$U47="Ja",IFERROR(VALUE(LEFT(Anmeldung!$V47,FIND(":",Anmeldung!$V47)-1)),0)&gt;0,Anmeldung!$B47=MIN(Anmeldung!$B47,IFERROR(VALUE(LEFT(Anmeldung!$V47,FIND(":",Anmeldung!$V47)-1)),0))),"Einschrittkampf","")</f>
        <v/>
      </c>
      <c r="B209" s="1" t="str">
        <f>IF($A209="","",Anmeldung!$G47&amp;" / "&amp;Anmeldung!$J47)</f>
        <v/>
      </c>
      <c r="C209" s="1" t="str">
        <f t="shared" si="0"/>
        <v/>
      </c>
      <c r="D209" s="1" t="str">
        <f>IF($A209="","","Paar")</f>
        <v/>
      </c>
      <c r="E209" s="1" t="str">
        <f t="array" ref="E209">IF($A209="","",Anmeldung!$E47&amp;" "&amp;Anmeldung!$D47&amp;" / "&amp;IF(IFERROR(VALUE(LEFT(Anmeldung!$V47,FIND(":",Anmeldung!$V47)-1)),0)=0,"",INDEX(Anmeldung!$E$18:$E$47,IFERROR(VALUE(LEFT(Anmeldung!$V47,FIND(":",Anmeldung!$V47)-1)),0))&amp;" "&amp;INDEX(Anmeldung!$D$18:$D$47,IFERROR(VALUE(LEFT(Anmeldung!$V47,FIND(":",Anmeldung!$V47)-1)),0))))</f>
        <v/>
      </c>
      <c r="F209" s="1" t="str">
        <f>IF($A209="","",Anmeldung!$B47&amp;", "&amp;IFERROR(VALUE(LEFT(Anmeldung!$V47,FIND(":",Anmeldung!$V47)-1)),0))</f>
        <v/>
      </c>
      <c r="G209" s="1" t="str">
        <f>IF($A209="","",Anmeldung!$G47)</f>
        <v/>
      </c>
      <c r="H209" s="1" t="str">
        <f>IF($A209="","",Anmeldung!$J47)</f>
        <v/>
      </c>
      <c r="I209" s="1" t="str">
        <f>IF($A209="","",Anmeldung!$I47)</f>
        <v/>
      </c>
      <c r="J209" s="1" t="str">
        <f t="shared" si="1"/>
        <v/>
      </c>
    </row>
    <row r="210" spans="1:10" ht="14.25" customHeight="1" x14ac:dyDescent="0.3">
      <c r="A210" s="1" t="str">
        <f>IF(AND(Anmeldung!$D47&lt;&gt;"",Anmeldung!$W47="Ja"),"Bruchtest","")</f>
        <v/>
      </c>
      <c r="B210" s="1" t="str">
        <f>IF($A210="","",IF(YEAR(Anmeldung!$F47)&gt;=2009,"Bruchtest 16-17 Jahre / JG 2010-2009 / 1,0 cm",IF(YEAR(Anmeldung!$F47)&gt;=1986,"Bruchtest 18-40 Jahre / JG 2008-1986 / 1,5 cm","Bruchtest ab 41 Jahre / JG ab 1985 / 1,0 cm")))</f>
        <v/>
      </c>
      <c r="C210" s="1" t="str">
        <f t="shared" si="0"/>
        <v/>
      </c>
      <c r="D210" s="1" t="str">
        <f t="shared" ref="D210:D211" si="31">IF($A210="","","Einzel")</f>
        <v/>
      </c>
      <c r="E210" s="1" t="str">
        <f>IF($A210="","",Anmeldung!$E47&amp;" "&amp;Anmeldung!$D47)</f>
        <v/>
      </c>
      <c r="F210" s="1" t="str">
        <f>IF($A210="","",Anmeldung!$B47)</f>
        <v/>
      </c>
      <c r="G210" s="1" t="str">
        <f>IF($A210="","",Anmeldung!$G47)</f>
        <v/>
      </c>
      <c r="H210" s="1" t="str">
        <f>IF($A210="","",Anmeldung!$J47)</f>
        <v/>
      </c>
      <c r="I210" s="1" t="str">
        <f>IF($A210="","",Anmeldung!$I47)</f>
        <v/>
      </c>
      <c r="J210" s="1" t="str">
        <f t="shared" si="1"/>
        <v/>
      </c>
    </row>
    <row r="211" spans="1:10" ht="14.25" customHeight="1" x14ac:dyDescent="0.3">
      <c r="A211" s="1" t="str">
        <f>IF(AND(Anmeldung!$D47&lt;&gt;"",Anmeldung!$X47="Ja"),"Speed-Kicking","")</f>
        <v/>
      </c>
      <c r="B211" s="1" t="str">
        <f>IF($A211="","",Anmeldung!$G47)</f>
        <v/>
      </c>
      <c r="C211" s="1" t="str">
        <f t="shared" si="0"/>
        <v/>
      </c>
      <c r="D211" s="1" t="str">
        <f t="shared" si="31"/>
        <v/>
      </c>
      <c r="E211" s="1" t="str">
        <f>IF($A211="","",Anmeldung!$E47&amp;" "&amp;Anmeldung!$D47)</f>
        <v/>
      </c>
      <c r="F211" s="1" t="str">
        <f>IF($A211="","",Anmeldung!$B47)</f>
        <v/>
      </c>
      <c r="G211" s="1" t="str">
        <f>IF($A211="","",Anmeldung!$G47)</f>
        <v/>
      </c>
      <c r="H211" s="1" t="str">
        <f>IF($A211="","",Anmeldung!$J47)</f>
        <v/>
      </c>
      <c r="I211" s="1" t="str">
        <f>IF($A211="","",Anmeldung!$I47)</f>
        <v/>
      </c>
      <c r="J211" s="1" t="str">
        <f t="shared" si="1"/>
        <v/>
      </c>
    </row>
  </sheetData>
  <sheetProtection algorithmName="SHA-512" hashValue="nkinAqGQM35PF+sDZYPjzlYMYXve8MSxy6+6cYkUSydF9wHEX3Ktwbh7pTjoQexHnit18gS1YqXDWxhoKNJhFw==" saltValue="FqbgWvLs5Y9zr4BTvDGtTQ==" spinCount="100000" sheet="1" objects="1" scenarios="1"/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Anmeldung</vt:lpstr>
      <vt:lpstr>Listen</vt:lpstr>
      <vt:lpstr>Partnerlisten</vt:lpstr>
      <vt:lpstr>Ausgabe-Daten</vt:lpstr>
    </vt:vector>
  </TitlesOfParts>
  <Company>Leipziger Verkehrsbetriebe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Berndt, Susann</dc:creator>
  <cp:lastModifiedBy>Familie Berndt</cp:lastModifiedBy>
  <cp:lastPrinted>2026-09-13T16:15:40Z</cp:lastPrinted>
  <dcterms:created xsi:type="dcterms:W3CDTF">2026-07-30T06:55:03Z</dcterms:created>
  <dcterms:modified xsi:type="dcterms:W3CDTF">2026-09-13T18:57:28Z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132371-6fb3-4277-bc70-caebf881b687_Enabled">
    <vt:lpwstr>true</vt:lpwstr>
  </property>
  <property fmtid="{D5CDD505-2E9C-101B-9397-08002B2CF9AE}" pid="3" name="MSIP_Label_4f132371-6fb3-4277-bc70-caebf881b687_SetDate">
    <vt:lpwstr>2026-07-30T07:04:00Z</vt:lpwstr>
  </property>
  <property fmtid="{D5CDD505-2E9C-101B-9397-08002B2CF9AE}" pid="4" name="MSIP_Label_4f132371-6fb3-4277-bc70-caebf881b687_Method">
    <vt:lpwstr>Standard</vt:lpwstr>
  </property>
  <property fmtid="{D5CDD505-2E9C-101B-9397-08002B2CF9AE}" pid="5" name="MSIP_Label_4f132371-6fb3-4277-bc70-caebf881b687_Name">
    <vt:lpwstr>C2_Group_General</vt:lpwstr>
  </property>
  <property fmtid="{D5CDD505-2E9C-101B-9397-08002B2CF9AE}" pid="6" name="MSIP_Label_4f132371-6fb3-4277-bc70-caebf881b687_SiteId">
    <vt:lpwstr>c9747388-9108-4882-b3cc-39021aa5e2ec</vt:lpwstr>
  </property>
  <property fmtid="{D5CDD505-2E9C-101B-9397-08002B2CF9AE}" pid="7" name="MSIP_Label_4f132371-6fb3-4277-bc70-caebf881b687_ActionId">
    <vt:lpwstr>3a39aac6-f31d-4708-b96e-e49b45ef8bdd</vt:lpwstr>
  </property>
  <property fmtid="{D5CDD505-2E9C-101B-9397-08002B2CF9AE}" pid="8" name="MSIP_Label_4f132371-6fb3-4277-bc70-caebf881b687_ContentBits">
    <vt:lpwstr>1</vt:lpwstr>
  </property>
  <property fmtid="{D5CDD505-2E9C-101B-9397-08002B2CF9AE}" pid="9" name="MSIP_Label_4f132371-6fb3-4277-bc70-caebf881b687_Tag">
    <vt:lpwstr>10, 3, 0, 1</vt:lpwstr>
  </property>
</Properties>
</file>